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ylan\.codex\visualizations\2026\10\17\01a14c44-0517-7560-ad29-aee154529697\outputs\insurmybiz-profit-workbook-v2\"/>
    </mc:Choice>
  </mc:AlternateContent>
  <xr:revisionPtr revIDLastSave="0" documentId="13_ncr:1_{2385F588-8ED0-48D2-AC3D-8D9B90D6C9C6}" xr6:coauthVersionLast="47" xr6:coauthVersionMax="47" xr10:uidLastSave="{00000000-0000-0000-0000-000000000000}"/>
  <bookViews>
    <workbookView xWindow="38190" yWindow="2265" windowWidth="13320" windowHeight="12975" xr2:uid="{00000000-000D-0000-FFFF-FFFF00000000}"/>
  </bookViews>
  <sheets>
    <sheet name="Dashboard" sheetId="1" r:id="rId1"/>
    <sheet name="Profit target" sheetId="2" r:id="rId2"/>
    <sheet name="What-if planner" sheetId="3" r:id="rId3"/>
    <sheet name="Action plan" sheetId="4" r:id="rId4"/>
    <sheet name="Cash planner" sheetId="5" r:id="rId5"/>
    <sheet name="Monthly financials" sheetId="6" r:id="rId6"/>
  </sheets>
  <definedNames>
    <definedName name="_xlnm.Print_Area" localSheetId="3">'Action plan'!$B$2:$O$52</definedName>
    <definedName name="_xlnm.Print_Area" localSheetId="4">'Cash planner'!$B$2:$M$48</definedName>
    <definedName name="_xlnm.Print_Area" localSheetId="0">Dashboard!$B$2:$O$56</definedName>
    <definedName name="_xlnm.Print_Area" localSheetId="5">'Monthly financials'!$B$2:$P$73</definedName>
    <definedName name="_xlnm.Print_Area" localSheetId="1">'Profit target'!$B$2:$O$42</definedName>
    <definedName name="_xlnm.Print_Area" localSheetId="2">'What-if planner'!$B$2:$O$51</definedName>
    <definedName name="_xlnm.Print_Titles" localSheetId="5">'Monthly financials'!$1:$13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0" i="6" l="1"/>
  <c r="M69" i="6"/>
  <c r="B69" i="6"/>
  <c r="B68" i="6"/>
  <c r="B67" i="6"/>
  <c r="B66" i="6"/>
  <c r="B65" i="6"/>
  <c r="B64" i="6"/>
  <c r="B63" i="6"/>
  <c r="B62" i="6"/>
  <c r="B61" i="6"/>
  <c r="B60" i="6"/>
  <c r="P46" i="6"/>
  <c r="I46" i="6"/>
  <c r="N45" i="6"/>
  <c r="M45" i="6"/>
  <c r="L45" i="6"/>
  <c r="K45" i="6"/>
  <c r="J45" i="6"/>
  <c r="I45" i="6"/>
  <c r="H45" i="6"/>
  <c r="G45" i="6"/>
  <c r="F45" i="6"/>
  <c r="E45" i="6"/>
  <c r="D45" i="6"/>
  <c r="C45" i="6"/>
  <c r="P42" i="6"/>
  <c r="E40" i="3" s="1"/>
  <c r="P41" i="6"/>
  <c r="E39" i="3" s="1"/>
  <c r="N38" i="6"/>
  <c r="M38" i="6"/>
  <c r="L38" i="6"/>
  <c r="K38" i="6"/>
  <c r="J38" i="6"/>
  <c r="I38" i="6"/>
  <c r="H38" i="6"/>
  <c r="G38" i="6"/>
  <c r="F38" i="6"/>
  <c r="E38" i="6"/>
  <c r="D38" i="6"/>
  <c r="C38" i="6"/>
  <c r="P37" i="6"/>
  <c r="P70" i="6" s="1"/>
  <c r="P36" i="6"/>
  <c r="P69" i="6" s="1"/>
  <c r="P35" i="6"/>
  <c r="P68" i="6" s="1"/>
  <c r="P34" i="6"/>
  <c r="P67" i="6" s="1"/>
  <c r="P33" i="6"/>
  <c r="P66" i="6" s="1"/>
  <c r="P32" i="6"/>
  <c r="P65" i="6" s="1"/>
  <c r="P31" i="6"/>
  <c r="P64" i="6" s="1"/>
  <c r="P30" i="6"/>
  <c r="P63" i="6" s="1"/>
  <c r="P29" i="6"/>
  <c r="P62" i="6" s="1"/>
  <c r="P28" i="6"/>
  <c r="P61" i="6" s="1"/>
  <c r="P27" i="6"/>
  <c r="E31" i="3" s="1"/>
  <c r="N22" i="6"/>
  <c r="M22" i="6"/>
  <c r="L22" i="6"/>
  <c r="K22" i="6"/>
  <c r="J22" i="6"/>
  <c r="I22" i="6"/>
  <c r="H22" i="6"/>
  <c r="G22" i="6"/>
  <c r="F22" i="6"/>
  <c r="E22" i="6"/>
  <c r="D22" i="6"/>
  <c r="C22" i="6"/>
  <c r="P21" i="6"/>
  <c r="P20" i="6"/>
  <c r="P19" i="6"/>
  <c r="N17" i="6"/>
  <c r="S25" i="6" s="1"/>
  <c r="M17" i="6"/>
  <c r="S24" i="6" s="1"/>
  <c r="L17" i="6"/>
  <c r="S23" i="6" s="1"/>
  <c r="K17" i="6"/>
  <c r="S22" i="6" s="1"/>
  <c r="J17" i="6"/>
  <c r="I17" i="6"/>
  <c r="S20" i="6" s="1"/>
  <c r="H17" i="6"/>
  <c r="S19" i="6" s="1"/>
  <c r="G17" i="6"/>
  <c r="S18" i="6" s="1"/>
  <c r="F17" i="6"/>
  <c r="E17" i="6"/>
  <c r="S16" i="6" s="1"/>
  <c r="D17" i="6"/>
  <c r="S15" i="6" s="1"/>
  <c r="C17" i="6"/>
  <c r="S14" i="6" s="1"/>
  <c r="P16" i="6"/>
  <c r="E24" i="3" s="1"/>
  <c r="P15" i="6"/>
  <c r="E23" i="3" s="1"/>
  <c r="N13" i="6"/>
  <c r="R25" i="6" s="1"/>
  <c r="M13" i="6"/>
  <c r="R24" i="6" s="1"/>
  <c r="L13" i="6"/>
  <c r="R23" i="6" s="1"/>
  <c r="K13" i="6"/>
  <c r="R22" i="6" s="1"/>
  <c r="J13" i="6"/>
  <c r="R21" i="6" s="1"/>
  <c r="I13" i="6"/>
  <c r="R20" i="6" s="1"/>
  <c r="H13" i="6"/>
  <c r="R19" i="6" s="1"/>
  <c r="G13" i="6"/>
  <c r="R18" i="6" s="1"/>
  <c r="F13" i="6"/>
  <c r="R17" i="6" s="1"/>
  <c r="E13" i="6"/>
  <c r="R16" i="6" s="1"/>
  <c r="D13" i="6"/>
  <c r="R15" i="6" s="1"/>
  <c r="C13" i="6"/>
  <c r="R14" i="6" s="1"/>
  <c r="K32" i="5"/>
  <c r="H32" i="5"/>
  <c r="E32" i="5"/>
  <c r="K21" i="5"/>
  <c r="H21" i="5"/>
  <c r="E21" i="5"/>
  <c r="E16" i="5"/>
  <c r="E38" i="5" s="1"/>
  <c r="K14" i="5"/>
  <c r="H14" i="5"/>
  <c r="E14" i="5"/>
  <c r="E18" i="3"/>
  <c r="H40" i="3" s="1"/>
  <c r="R6" i="1"/>
  <c r="R5" i="1"/>
  <c r="R4" i="1"/>
  <c r="R3" i="1"/>
  <c r="R2" i="1"/>
  <c r="E34" i="3" l="1"/>
  <c r="H34" i="3" s="1"/>
  <c r="K34" i="3" s="1"/>
  <c r="E23" i="6"/>
  <c r="N37" i="1"/>
  <c r="S5" i="1" s="1"/>
  <c r="N34" i="1"/>
  <c r="S2" i="1" s="1"/>
  <c r="P22" i="6"/>
  <c r="E27" i="3" s="1"/>
  <c r="E32" i="3"/>
  <c r="H32" i="3" s="1"/>
  <c r="K32" i="3" s="1"/>
  <c r="P17" i="6"/>
  <c r="E25" i="3" s="1"/>
  <c r="L23" i="6"/>
  <c r="L24" i="6" s="1"/>
  <c r="F23" i="6"/>
  <c r="F39" i="6" s="1"/>
  <c r="E34" i="5"/>
  <c r="E35" i="5" s="1"/>
  <c r="H34" i="5"/>
  <c r="K34" i="5"/>
  <c r="J23" i="6"/>
  <c r="J24" i="6" s="1"/>
  <c r="P45" i="6"/>
  <c r="E63" i="6" s="1"/>
  <c r="G23" i="6"/>
  <c r="G24" i="6" s="1"/>
  <c r="E24" i="6"/>
  <c r="E39" i="6"/>
  <c r="E40" i="6" s="1"/>
  <c r="D23" i="6"/>
  <c r="D24" i="6" s="1"/>
  <c r="I23" i="6"/>
  <c r="I24" i="6" s="1"/>
  <c r="P38" i="6"/>
  <c r="E35" i="3" s="1"/>
  <c r="S21" i="6"/>
  <c r="P60" i="6"/>
  <c r="M23" i="6"/>
  <c r="M39" i="6" s="1"/>
  <c r="C23" i="6"/>
  <c r="C24" i="6" s="1"/>
  <c r="K40" i="3"/>
  <c r="N36" i="1"/>
  <c r="S4" i="1" s="1"/>
  <c r="N23" i="6"/>
  <c r="N38" i="1"/>
  <c r="S6" i="1" s="1"/>
  <c r="E33" i="3"/>
  <c r="H33" i="3" s="1"/>
  <c r="S17" i="6"/>
  <c r="H23" i="3"/>
  <c r="B12" i="1"/>
  <c r="H23" i="6"/>
  <c r="H24" i="3"/>
  <c r="K24" i="3" s="1"/>
  <c r="H39" i="3"/>
  <c r="K39" i="3" s="1"/>
  <c r="K23" i="6"/>
  <c r="N35" i="1"/>
  <c r="S3" i="1" s="1"/>
  <c r="H31" i="3"/>
  <c r="K31" i="3" s="1"/>
  <c r="K40" i="1" l="1"/>
  <c r="I39" i="6"/>
  <c r="I40" i="6" s="1"/>
  <c r="F24" i="6"/>
  <c r="M24" i="6"/>
  <c r="L39" i="6"/>
  <c r="T23" i="6" s="1"/>
  <c r="P23" i="6"/>
  <c r="E28" i="3" s="1"/>
  <c r="I67" i="6"/>
  <c r="E66" i="6"/>
  <c r="J39" i="6"/>
  <c r="T21" i="6" s="1"/>
  <c r="K62" i="6"/>
  <c r="M62" i="6" s="1"/>
  <c r="G39" i="6"/>
  <c r="G43" i="6" s="1"/>
  <c r="C39" i="6"/>
  <c r="C43" i="6" s="1"/>
  <c r="K60" i="6"/>
  <c r="M60" i="6" s="1"/>
  <c r="C62" i="6"/>
  <c r="C60" i="6"/>
  <c r="C65" i="6"/>
  <c r="E69" i="6"/>
  <c r="K63" i="6"/>
  <c r="M63" i="6" s="1"/>
  <c r="K66" i="6"/>
  <c r="M66" i="6" s="1"/>
  <c r="K68" i="6"/>
  <c r="M68" i="6" s="1"/>
  <c r="C68" i="6"/>
  <c r="K69" i="6"/>
  <c r="C66" i="6"/>
  <c r="K65" i="6"/>
  <c r="M65" i="6" s="1"/>
  <c r="C63" i="6"/>
  <c r="G63" i="6" s="1"/>
  <c r="K67" i="6"/>
  <c r="M67" i="6" s="1"/>
  <c r="C64" i="6"/>
  <c r="E68" i="6"/>
  <c r="B8" i="1"/>
  <c r="I60" i="6"/>
  <c r="I65" i="6"/>
  <c r="E67" i="6"/>
  <c r="C69" i="6"/>
  <c r="C67" i="6"/>
  <c r="H25" i="3"/>
  <c r="K25" i="3" s="1"/>
  <c r="I63" i="6"/>
  <c r="I68" i="6"/>
  <c r="E70" i="6"/>
  <c r="K70" i="6"/>
  <c r="M70" i="6" s="1"/>
  <c r="C70" i="6"/>
  <c r="E61" i="6"/>
  <c r="E65" i="6"/>
  <c r="I62" i="6"/>
  <c r="E64" i="6"/>
  <c r="I66" i="6"/>
  <c r="E62" i="6"/>
  <c r="I61" i="6"/>
  <c r="E60" i="6"/>
  <c r="I70" i="6"/>
  <c r="K61" i="6"/>
  <c r="M61" i="6" s="1"/>
  <c r="K64" i="6"/>
  <c r="M64" i="6" s="1"/>
  <c r="I69" i="6"/>
  <c r="C61" i="6"/>
  <c r="I64" i="6"/>
  <c r="D39" i="6"/>
  <c r="D40" i="6" s="1"/>
  <c r="E43" i="6"/>
  <c r="T16" i="6"/>
  <c r="F43" i="6"/>
  <c r="T17" i="6"/>
  <c r="F40" i="6"/>
  <c r="E36" i="5"/>
  <c r="H16" i="5"/>
  <c r="H35" i="3"/>
  <c r="K35" i="3" s="1"/>
  <c r="M40" i="6"/>
  <c r="T24" i="6"/>
  <c r="M43" i="6"/>
  <c r="I43" i="6"/>
  <c r="H24" i="6"/>
  <c r="H39" i="6"/>
  <c r="L40" i="6"/>
  <c r="L43" i="6"/>
  <c r="H27" i="3"/>
  <c r="K27" i="3" s="1"/>
  <c r="K23" i="3"/>
  <c r="N39" i="6"/>
  <c r="N24" i="6"/>
  <c r="K24" i="6"/>
  <c r="K39" i="6"/>
  <c r="K33" i="3"/>
  <c r="G68" i="6" l="1"/>
  <c r="T20" i="6"/>
  <c r="G67" i="6"/>
  <c r="P39" i="6"/>
  <c r="J40" i="6"/>
  <c r="G61" i="6"/>
  <c r="P24" i="6"/>
  <c r="E29" i="3" s="1"/>
  <c r="J43" i="6"/>
  <c r="G66" i="6"/>
  <c r="T14" i="6"/>
  <c r="G60" i="6"/>
  <c r="D43" i="6"/>
  <c r="T15" i="6"/>
  <c r="G64" i="6"/>
  <c r="T18" i="6"/>
  <c r="G40" i="6"/>
  <c r="C40" i="6"/>
  <c r="G65" i="6"/>
  <c r="G70" i="6"/>
  <c r="G62" i="6"/>
  <c r="G69" i="6"/>
  <c r="K40" i="6"/>
  <c r="K43" i="6"/>
  <c r="T22" i="6"/>
  <c r="H43" i="6"/>
  <c r="H40" i="6"/>
  <c r="T19" i="6"/>
  <c r="T25" i="6"/>
  <c r="N43" i="6"/>
  <c r="N40" i="6"/>
  <c r="H28" i="3"/>
  <c r="H35" i="5"/>
  <c r="H38" i="5"/>
  <c r="P43" i="6"/>
  <c r="E36" i="3"/>
  <c r="P40" i="6"/>
  <c r="L12" i="1" l="1"/>
  <c r="E37" i="3"/>
  <c r="H29" i="3"/>
  <c r="K29" i="3" s="1"/>
  <c r="H36" i="3"/>
  <c r="K36" i="3" s="1"/>
  <c r="K28" i="3"/>
  <c r="G12" i="1"/>
  <c r="E41" i="3"/>
  <c r="B34" i="1"/>
  <c r="B19" i="4" s="1"/>
  <c r="B10" i="2"/>
  <c r="B11" i="2"/>
  <c r="B12" i="4"/>
  <c r="B15" i="2"/>
  <c r="I15" i="2" s="1"/>
  <c r="B8" i="4"/>
  <c r="B39" i="1"/>
  <c r="B30" i="4" s="1"/>
  <c r="H36" i="5"/>
  <c r="K16" i="5"/>
  <c r="K35" i="5" l="1"/>
  <c r="K38" i="5"/>
  <c r="E42" i="3"/>
  <c r="G26" i="2"/>
  <c r="B28" i="2" s="1"/>
  <c r="G21" i="2"/>
  <c r="B44" i="1"/>
  <c r="B41" i="4" s="1"/>
  <c r="G32" i="2"/>
  <c r="B34" i="2" s="1"/>
  <c r="H37" i="3"/>
  <c r="K37" i="3" s="1"/>
  <c r="H41" i="3"/>
  <c r="K41" i="3" s="1"/>
  <c r="H42" i="3" l="1"/>
  <c r="K42" i="3" s="1"/>
  <c r="L12" i="4"/>
  <c r="G12" i="4"/>
  <c r="K36" i="5"/>
  <c r="B40" i="5"/>
</calcChain>
</file>

<file path=xl/sharedStrings.xml><?xml version="1.0" encoding="utf-8"?>
<sst xmlns="http://schemas.openxmlformats.org/spreadsheetml/2006/main" count="1567" uniqueCount="165">
  <si>
    <t>Expense group</t>
  </si>
  <si>
    <t>Period total</t>
  </si>
  <si>
    <t>InsurMyBiz</t>
  </si>
  <si>
    <t>Business profit dashboard</t>
  </si>
  <si>
    <t>Fictional example. All business figures are illustrative.</t>
  </si>
  <si>
    <t>Revenue</t>
  </si>
  <si>
    <t>Profit before income taxes</t>
  </si>
  <si>
    <t>Operating margin</t>
  </si>
  <si>
    <t>Monthly revenue and operating profit</t>
  </si>
  <si>
    <t>Operating expense mix</t>
  </si>
  <si>
    <t>Your profit opportunities</t>
  </si>
  <si>
    <t>Select a suggestion to open its worksheet.</t>
  </si>
  <si>
    <t>People</t>
  </si>
  <si>
    <t>Occupancy</t>
  </si>
  <si>
    <t>Marketing</t>
  </si>
  <si>
    <t>Insurance</t>
  </si>
  <si>
    <t>Other</t>
  </si>
  <si>
    <t>Start or update your monthly figures</t>
  </si>
  <si>
    <t>Set your profit target</t>
  </si>
  <si>
    <t>Make your action plan</t>
  </si>
  <si>
    <t>Plan upcoming cash</t>
  </si>
  <si>
    <t>Opportunity amounts can overlap and should not be added together. They illustrate changes at recorded-period revenue, not available savings or forecasts. Figures stay in this file; Cash planner uses separate estimates of actual collections and payments.</t>
  </si>
  <si>
    <t>Work backward from your profit goal</t>
  </si>
  <si>
    <t>Target profit before income taxes</t>
  </si>
  <si>
    <t>180000</t>
  </si>
  <si>
    <t>Use a target for the same recorded period. A one-month input needs a one-month goal.</t>
  </si>
  <si>
    <t>Recorded profit before income taxes</t>
  </si>
  <si>
    <t>Additional profit needed</t>
  </si>
  <si>
    <t>One lever at a time</t>
  </si>
  <si>
    <t>Approx. change</t>
  </si>
  <si>
    <t>What to review</t>
  </si>
  <si>
    <t>Increase selling prices</t>
  </si>
  <si>
    <t>Test a price change on the What-if planner. This illustration holds sales volume, direct costs, and all other costs fixed; customers may respond differently.</t>
  </si>
  <si>
    <t>Increase sales volume</t>
  </si>
  <si>
    <t>All direct costs scale with volume, consistent with What-if planner. Other revenue and operating costs stay fixed. Check capacity and whether labor actually varies.</t>
  </si>
  <si>
    <t>Reduce operating costs</t>
  </si>
  <si>
    <t>Review recurring contracts and spending before making a change. This illustration excludes depreciation and holds revenue and direct costs fixed.</t>
  </si>
  <si>
    <t>These are hypothetical alternatives and may overlap. Percentages are rounded for display; check the resulting profit against your goal on What-if planner. Income-tax and cash-timing effects are excluded. All calculations use the same recorded period.</t>
  </si>
  <si>
    <t>Try a combination on What-if planner</t>
  </si>
  <si>
    <t>Explore a profit scenario</t>
  </si>
  <si>
    <t>Change the blue percentages. Compare the same included period; results are not annualized.</t>
  </si>
  <si>
    <t>Your assumptions</t>
  </si>
  <si>
    <t>Price change</t>
  </si>
  <si>
    <t>Applies to sales revenue. Other operating revenue stays fixed.</t>
  </si>
  <si>
    <t>Sales volume change</t>
  </si>
  <si>
    <t>Changes sales revenue and all direct costs at a constant mix.</t>
  </si>
  <si>
    <t>Direct cost per unit change</t>
  </si>
  <si>
    <t>Changes materials, direct labor, and other direct costs per unit.</t>
  </si>
  <si>
    <t>Overhead payroll change</t>
  </si>
  <si>
    <t>Applies only to overhead payroll and benefits.</t>
  </si>
  <si>
    <t>Insurance expense change</t>
  </si>
  <si>
    <t>Hypothetical cost change. Available savings are not established.</t>
  </si>
  <si>
    <t>Other operating cost change</t>
  </si>
  <si>
    <t>Excludes payroll, insurance, and depreciation/amortization.</t>
  </si>
  <si>
    <t>0% means no change. Enter reductions as negative percentages.</t>
  </si>
  <si>
    <t>Profit and loss (USD)</t>
  </si>
  <si>
    <t>Recorded period</t>
  </si>
  <si>
    <t>Your scenario</t>
  </si>
  <si>
    <t>Change</t>
  </si>
  <si>
    <t>Sales revenue</t>
  </si>
  <si>
    <t>Other operating revenue</t>
  </si>
  <si>
    <t>Total revenue</t>
  </si>
  <si>
    <t>Direct costs</t>
  </si>
  <si>
    <t>Gross profit</t>
  </si>
  <si>
    <t>Gross margin</t>
  </si>
  <si>
    <t>Overhead payroll</t>
  </si>
  <si>
    <t>Business insurance</t>
  </si>
  <si>
    <t>Other operating costs</t>
  </si>
  <si>
    <t>Depreciation / amortization</t>
  </si>
  <si>
    <t>Total operating expenses</t>
  </si>
  <si>
    <t>Operating profit</t>
  </si>
  <si>
    <t>Interest expense</t>
  </si>
  <si>
    <t>Other income / (expense)</t>
  </si>
  <si>
    <t>Profit margin before tax</t>
  </si>
  <si>
    <t>This is an adjustable scenario, not a forecast or quote. All direct costs vary with volume. Depreciation, interest, and other nonoperating income stay fixed. Income tax effects and cash timing are excluded.</t>
  </si>
  <si>
    <t>A lower insurance premium can involve different coverage, limits, deductibles, or exclusions. Use a licensed agent to review those differences.</t>
  </si>
  <si>
    <t>Optional: request a connection with one licensed insurance agent</t>
  </si>
  <si>
    <t>Your next steps</t>
  </si>
  <si>
    <t>Recorded profit</t>
  </si>
  <si>
    <t>What-if profit</t>
  </si>
  <si>
    <t>Gap after scenario</t>
  </si>
  <si>
    <t>What-if profit uses the percentages saved on What-if planner. Suggestions below are separate illustrations and may overlap. Your written actions and dates do not automatically change the scenario.</t>
  </si>
  <si>
    <t>Review pricing and direct costs</t>
  </si>
  <si>
    <t>My next step</t>
  </si>
  <si>
    <t>Review margins on our five best-selling services.</t>
  </si>
  <si>
    <t>Owner</t>
  </si>
  <si>
    <t>Business owner</t>
  </si>
  <si>
    <t>Due date</t>
  </si>
  <si>
    <t>Status</t>
  </si>
  <si>
    <t>Not started</t>
  </si>
  <si>
    <t>Review operating expenses</t>
  </si>
  <si>
    <t>Review recent repair bills and planned maintenance.</t>
  </si>
  <si>
    <t>Choose a goal or cash action</t>
  </si>
  <si>
    <t>Compare a 3% price increase and 5% sales-volume change.</t>
  </si>
  <si>
    <t>Blue fields are yours to edit. Suggestions update when financial inputs or the target change; your written commitments remain as entered.</t>
  </si>
  <si>
    <t>Review the saved assumptions on What-if planner</t>
  </si>
  <si>
    <t>Plan the next three months of cash</t>
  </si>
  <si>
    <t>First forecast month</t>
  </si>
  <si>
    <t>Months included</t>
  </si>
  <si>
    <t>Opening cash balance</t>
  </si>
  <si>
    <t>Minimum cash reserve</t>
  </si>
  <si>
    <t>Enter expected bank collections and payments for each included month. Use 0 when none are expected. Include payment timing on existing receivables and bills; do not copy profit-and-loss totals or count the same payment twice.</t>
  </si>
  <si>
    <t>Cash forecast (USD)</t>
  </si>
  <si>
    <t>Opening cash</t>
  </si>
  <si>
    <t>Customer collections</t>
  </si>
  <si>
    <t>Loans and owner contributions</t>
  </si>
  <si>
    <t>Other cash receipts</t>
  </si>
  <si>
    <t>Total cash received</t>
  </si>
  <si>
    <t>Supplier payments</t>
  </si>
  <si>
    <t>Payroll and benefits paid</t>
  </si>
  <si>
    <t>Rent and utilities paid</t>
  </si>
  <si>
    <t>Insurance paid</t>
  </si>
  <si>
    <t>Other operating payments</t>
  </si>
  <si>
    <t>Loan principal and interest paid</t>
  </si>
  <si>
    <t>Taxes paid</t>
  </si>
  <si>
    <t>Equipment and capital purchases</t>
  </si>
  <si>
    <t>Owner withdrawals</t>
  </si>
  <si>
    <t>Total cash paid</t>
  </si>
  <si>
    <t>Net cash change</t>
  </si>
  <si>
    <t>Closing cash</t>
  </si>
  <si>
    <t>Above / (below) reserve</t>
  </si>
  <si>
    <t>Input status</t>
  </si>
  <si>
    <t>This is a monthly cash estimate, not a daily solvency check. Timing inside a month can create a shortfall even when closing cash is positive. Revenue is not the same as customer collections. Financing and owner contributions are cash inflows, not profit.</t>
  </si>
  <si>
    <t>Blank or excluded months do not count as zero cash. Enter a reserve of 0 if you only want to check for negative closing balances.</t>
  </si>
  <si>
    <t>Your monthly financials</t>
  </si>
  <si>
    <t>First month</t>
  </si>
  <si>
    <t>Blue text on a warm background = your input.</t>
  </si>
  <si>
    <t>Start with just one completed month: set Months included to 1 and fill column C. Enter all 18 amounts, including 0 for categories that do not apply. Add consecutive months when ready.</t>
  </si>
  <si>
    <t>Monthly figures (USD)</t>
  </si>
  <si>
    <t>Included period</t>
  </si>
  <si>
    <t>Month</t>
  </si>
  <si>
    <t>REVENUE</t>
  </si>
  <si>
    <t>DIRECT COSTS</t>
  </si>
  <si>
    <t>Materials / cost of goods sold</t>
  </si>
  <si>
    <t>Direct labor</t>
  </si>
  <si>
    <t>Other direct costs</t>
  </si>
  <si>
    <t>Total direct costs</t>
  </si>
  <si>
    <t>OPERATING EXPENSES</t>
  </si>
  <si>
    <t>Overhead payroll &amp; benefits</t>
  </si>
  <si>
    <t>Rent &amp; occupancy</t>
  </si>
  <si>
    <t>Marketing &amp; advertising</t>
  </si>
  <si>
    <t>Software &amp; subscriptions</t>
  </si>
  <si>
    <t>Utilities &amp; communications</t>
  </si>
  <si>
    <t>Professional fees</t>
  </si>
  <si>
    <t>Repairs &amp; maintenance</t>
  </si>
  <si>
    <t>Travel &amp; vehicle</t>
  </si>
  <si>
    <t>Depreciation &amp; amortization</t>
  </si>
  <si>
    <t>Other operating expenses</t>
  </si>
  <si>
    <t>Other nonoperating income / (expense)</t>
  </si>
  <si>
    <t>Included-month input status</t>
  </si>
  <si>
    <t>Amounts entered</t>
  </si>
  <si>
    <t>Use your accounting records. Enter direct labor once; overhead payroll excludes labor already included in direct costs.</t>
  </si>
  <si>
    <t>Depreciation and amortization belong in row 36 only. Do not include the same amount in another operating expense category.</t>
  </si>
  <si>
    <t>Profit before income taxes is not cash available. Loan principal, owner withdrawals, and capital purchases are not profit-and-loss expenses. Keep personal expenses out.</t>
  </si>
  <si>
    <t>Formula cells are protected against accidental edits. To customize the structure, choose Review &gt; Unprotect Sheet. No password is required.</t>
  </si>
  <si>
    <t>Expense growth review</t>
  </si>
  <si>
    <t>First versus last included month. A positive share change means the expense used more of each revenue dollar. The illustration applies that share change to total included-period revenue; it is not a forecast. Depreciation is excluded from savings illustrations.</t>
  </si>
  <si>
    <t>Expense category</t>
  </si>
  <si>
    <t>Last month</t>
  </si>
  <si>
    <t>Expense change</t>
  </si>
  <si>
    <t>Revenue change</t>
  </si>
  <si>
    <t>Share change (pp)</t>
  </si>
  <si>
    <t>Illustrated impact</t>
  </si>
  <si>
    <t>Period expense</t>
  </si>
  <si>
    <t>Category guide: sales are recognized revenue, not bank deposits. Direct costs belong to delivering the product or service; overhead supports the business. Put refunds against the matching category in your accounting records before copying net totals 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</si>
</sst>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$&quot;#,##0;\(&quot;$&quot;#,##0\);&quot;-&quot;"/>
    <numFmt numFmtId="165" formatCode="#,##0;\(#,##0\);&quot;-&quot;"/>
    <numFmt numFmtId="166" formatCode="0.0%;\(0.0%\);&quot;-&quot;"/>
    <numFmt numFmtId="167" formatCode="0.0%;\(0.0%\);0.0%"/>
    <numFmt numFmtId="168" formatCode="0.0&quot; pp&quot;"/>
    <numFmt numFmtId="169" formatCode="0.0&quot; pp&quot;;\(0.0\)&quot; pp&quot;;0.0&quot; pp&quot;"/>
    <numFmt numFmtId="170" formatCode="0.00%;\(0.00%\);0.00%"/>
    <numFmt numFmtId="171" formatCode="mm/dd/yy"/>
  </numFmts>
  <fonts count="34">
    <font>
      <sz val="11"/>
      <name val="Carlito"/>
    </font>
    <font>
      <sz val="11"/>
      <color rgb="FF102D39"/>
      <name val="Arial"/>
    </font>
    <font>
      <b/>
      <sz val="13"/>
      <color rgb="FF102D39"/>
      <name val="Arial"/>
    </font>
    <font>
      <b/>
      <sz val="22"/>
      <color rgb="FF102D39"/>
      <name val="Arial"/>
    </font>
    <font>
      <sz val="10"/>
      <color rgb="FF50616A"/>
      <name val="Arial"/>
    </font>
    <font>
      <sz val="11"/>
      <color rgb="FF1649A3"/>
      <name val="Arial"/>
    </font>
    <font>
      <sz val="10"/>
      <color rgb="FF1649A3"/>
      <name val="Arial"/>
    </font>
    <font>
      <sz val="11"/>
      <color rgb="FF111111"/>
      <name val="Arial"/>
    </font>
    <font>
      <i/>
      <sz val="9"/>
      <color rgb="FF50616A"/>
      <name val="Arial"/>
    </font>
    <font>
      <b/>
      <sz val="10"/>
      <color rgb="FFFFFFFF"/>
      <name val="Arial"/>
    </font>
    <font>
      <b/>
      <sz val="10"/>
      <color rgb="FF50616A"/>
      <name val="Arial"/>
    </font>
    <font>
      <sz val="10"/>
      <color rgb="FF102D39"/>
      <name val="Arial"/>
    </font>
    <font>
      <b/>
      <sz val="11"/>
      <color rgb="FF102D39"/>
      <name val="Arial"/>
    </font>
    <font>
      <b/>
      <sz val="11"/>
      <color rgb="FF111111"/>
      <name val="Arial"/>
    </font>
    <font>
      <sz val="9"/>
      <color rgb="FF111111"/>
      <name val="Arial"/>
    </font>
    <font>
      <i/>
      <sz val="11"/>
      <color rgb="FF102D39"/>
      <name val="Arial"/>
    </font>
    <font>
      <i/>
      <sz val="11"/>
      <color rgb="FF111111"/>
      <name val="Arial"/>
    </font>
    <font>
      <b/>
      <sz val="12"/>
      <color rgb="FF102D39"/>
      <name val="Arial"/>
    </font>
    <font>
      <sz val="10"/>
      <color rgb="FF102D39"/>
      <name val="Arial"/>
    </font>
    <font>
      <sz val="11"/>
      <color rgb="FF23734D"/>
      <name val="Arial"/>
    </font>
    <font>
      <i/>
      <sz val="10"/>
      <color rgb="FF102D39"/>
      <name val="Arial"/>
    </font>
    <font>
      <i/>
      <sz val="11"/>
      <color rgb="FF23734D"/>
      <name val="Arial"/>
    </font>
    <font>
      <b/>
      <sz val="10"/>
      <color rgb="FF102D39"/>
      <name val="Arial"/>
    </font>
    <font>
      <b/>
      <sz val="11"/>
      <color rgb="FF23734D"/>
      <name val="Arial"/>
    </font>
    <font>
      <sz val="10"/>
      <color rgb="FF23734D"/>
      <name val="Arial"/>
    </font>
    <font>
      <b/>
      <sz val="23"/>
      <color rgb="FF102D39"/>
      <name val="Arial"/>
    </font>
    <font>
      <sz val="11"/>
      <color rgb="FF111111"/>
      <name val="Carlito"/>
    </font>
    <font>
      <sz val="11"/>
      <color rgb="FF23734D"/>
      <name val="Arial"/>
    </font>
    <font>
      <sz val="10"/>
      <color rgb="FF111111"/>
      <name val="Arial"/>
    </font>
    <font>
      <sz val="12"/>
      <color rgb="FF1649A3"/>
      <name val="Arial"/>
    </font>
    <font>
      <b/>
      <sz val="17"/>
      <color rgb="FF102D39"/>
      <name val="Arial"/>
    </font>
    <font>
      <sz val="9"/>
      <color rgb="FF23734D"/>
      <name val="Arial"/>
    </font>
    <font>
      <b/>
      <sz val="21"/>
      <color rgb="FF102D39"/>
      <name val="Arial"/>
    </font>
    <font>
      <sz val="11"/>
      <color rgb="FF1649A3"/>
      <name val="Arial"/>
    </font>
  </fonts>
  <fills count="7">
    <fill>
      <patternFill patternType="none"/>
    </fill>
    <fill>
      <patternFill patternType="gray125"/>
    </fill>
    <fill>
      <patternFill patternType="solid">
        <fgColor rgb="FFFAFBF8"/>
      </patternFill>
    </fill>
    <fill>
      <patternFill patternType="solid">
        <fgColor rgb="FFFFF5DD"/>
      </patternFill>
    </fill>
    <fill>
      <patternFill patternType="solid">
        <fgColor rgb="FF102D39"/>
      </patternFill>
    </fill>
    <fill>
      <patternFill patternType="solid">
        <fgColor rgb="FFF0F3EF"/>
      </patternFill>
    </fill>
    <fill>
      <patternFill patternType="solid">
        <fgColor rgb="FFEDF3E7"/>
      </patternFill>
    </fill>
  </fills>
  <borders count="4">
    <border>
      <left/>
      <right/>
      <top/>
      <bottom/>
      <diagonal/>
    </border>
    <border>
      <left/>
      <right/>
      <top/>
      <bottom style="thin">
        <color rgb="FFDCE3DF"/>
      </bottom>
      <diagonal/>
    </border>
    <border>
      <left/>
      <right/>
      <top style="thin">
        <color rgb="FFDCE3DF"/>
      </top>
      <bottom/>
      <diagonal/>
    </border>
    <border>
      <left/>
      <right/>
      <top style="medium">
        <color rgb="FFDCE3DF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 wrapText="1"/>
    </xf>
    <xf numFmtId="17" fontId="9" fillId="4" borderId="0" xfId="0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0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12" fillId="5" borderId="2" xfId="0" applyFont="1" applyFill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165" fontId="1" fillId="2" borderId="0" xfId="0" applyNumberFormat="1" applyFont="1" applyFill="1" applyAlignment="1">
      <alignment horizontal="right" vertical="center"/>
    </xf>
    <xf numFmtId="164" fontId="13" fillId="5" borderId="2" xfId="0" applyNumberFormat="1" applyFont="1" applyFill="1" applyBorder="1" applyAlignment="1">
      <alignment horizontal="right" vertical="center"/>
    </xf>
    <xf numFmtId="164" fontId="13" fillId="6" borderId="3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Alignment="1">
      <alignment horizontal="right" vertical="center"/>
    </xf>
    <xf numFmtId="0" fontId="14" fillId="2" borderId="0" xfId="0" applyFont="1" applyFill="1" applyAlignment="1">
      <alignment horizontal="right" vertical="center" wrapText="1"/>
    </xf>
    <xf numFmtId="1" fontId="7" fillId="2" borderId="0" xfId="0" applyNumberFormat="1" applyFont="1" applyFill="1" applyAlignment="1">
      <alignment vertical="center"/>
    </xf>
    <xf numFmtId="0" fontId="15" fillId="2" borderId="0" xfId="0" applyFont="1" applyFill="1" applyAlignment="1">
      <alignment vertical="center"/>
    </xf>
    <xf numFmtId="166" fontId="16" fillId="2" borderId="0" xfId="0" applyNumberFormat="1" applyFont="1" applyFill="1" applyAlignment="1">
      <alignment horizontal="right" vertical="center"/>
    </xf>
    <xf numFmtId="166" fontId="7" fillId="2" borderId="0" xfId="0" applyNumberFormat="1" applyFont="1" applyFill="1" applyAlignment="1">
      <alignment horizontal="right" vertical="center"/>
    </xf>
    <xf numFmtId="164" fontId="7" fillId="2" borderId="0" xfId="0" applyNumberFormat="1" applyFont="1" applyFill="1" applyAlignment="1">
      <alignment vertical="center"/>
    </xf>
    <xf numFmtId="0" fontId="14" fillId="2" borderId="0" xfId="0" applyFont="1" applyFill="1" applyAlignment="1">
      <alignment vertical="center"/>
    </xf>
    <xf numFmtId="164" fontId="19" fillId="2" borderId="0" xfId="0" applyNumberFormat="1" applyFont="1" applyFill="1" applyAlignment="1">
      <alignment vertical="center"/>
    </xf>
    <xf numFmtId="166" fontId="21" fillId="2" borderId="0" xfId="0" applyNumberFormat="1" applyFont="1" applyFill="1" applyAlignment="1">
      <alignment vertical="center"/>
    </xf>
    <xf numFmtId="166" fontId="16" fillId="2" borderId="0" xfId="0" applyNumberFormat="1" applyFont="1" applyFill="1" applyAlignment="1">
      <alignment vertical="center"/>
    </xf>
    <xf numFmtId="168" fontId="16" fillId="2" borderId="0" xfId="0" applyNumberFormat="1" applyFont="1" applyFill="1" applyAlignment="1">
      <alignment vertical="center"/>
    </xf>
    <xf numFmtId="164" fontId="23" fillId="5" borderId="2" xfId="0" applyNumberFormat="1" applyFont="1" applyFill="1" applyBorder="1" applyAlignment="1">
      <alignment vertical="center"/>
    </xf>
    <xf numFmtId="164" fontId="13" fillId="5" borderId="2" xfId="0" applyNumberFormat="1" applyFont="1" applyFill="1" applyBorder="1" applyAlignment="1">
      <alignment vertical="center"/>
    </xf>
    <xf numFmtId="164" fontId="23" fillId="6" borderId="3" xfId="0" applyNumberFormat="1" applyFont="1" applyFill="1" applyBorder="1" applyAlignment="1">
      <alignment vertical="center"/>
    </xf>
    <xf numFmtId="164" fontId="13" fillId="6" borderId="3" xfId="0" applyNumberFormat="1" applyFont="1" applyFill="1" applyBorder="1" applyAlignment="1">
      <alignment vertical="center"/>
    </xf>
    <xf numFmtId="0" fontId="26" fillId="0" borderId="0" xfId="0" applyFont="1"/>
    <xf numFmtId="0" fontId="18" fillId="2" borderId="0" xfId="0" applyFont="1" applyFill="1" applyAlignment="1">
      <alignment vertical="top" wrapText="1"/>
    </xf>
    <xf numFmtId="0" fontId="27" fillId="2" borderId="0" xfId="0" applyFont="1" applyFill="1" applyAlignment="1">
      <alignment vertical="center" wrapText="1"/>
    </xf>
    <xf numFmtId="0" fontId="28" fillId="2" borderId="0" xfId="0" applyFont="1" applyFill="1" applyAlignment="1">
      <alignment vertical="center"/>
    </xf>
    <xf numFmtId="164" fontId="28" fillId="2" borderId="0" xfId="0" applyNumberFormat="1" applyFont="1" applyFill="1" applyAlignment="1">
      <alignment vertical="center"/>
    </xf>
    <xf numFmtId="167" fontId="5" fillId="3" borderId="0" xfId="0" applyNumberFormat="1" applyFont="1" applyFill="1" applyAlignment="1" applyProtection="1">
      <alignment horizontal="right" vertical="center"/>
      <protection locked="0"/>
    </xf>
    <xf numFmtId="165" fontId="5" fillId="3" borderId="0" xfId="0" applyNumberFormat="1" applyFont="1" applyFill="1" applyAlignment="1" applyProtection="1">
      <alignment horizontal="right" vertical="center"/>
      <protection locked="0"/>
    </xf>
    <xf numFmtId="17" fontId="5" fillId="3" borderId="0" xfId="0" applyNumberFormat="1" applyFont="1" applyFill="1" applyAlignment="1" applyProtection="1">
      <alignment horizontal="right" vertical="center"/>
      <protection locked="0"/>
    </xf>
    <xf numFmtId="1" fontId="5" fillId="3" borderId="0" xfId="0" applyNumberFormat="1" applyFont="1" applyFill="1" applyAlignment="1" applyProtection="1">
      <alignment horizontal="right" vertical="center"/>
      <protection locked="0"/>
    </xf>
    <xf numFmtId="164" fontId="5" fillId="3" borderId="0" xfId="0" applyNumberFormat="1" applyFont="1" applyFill="1" applyAlignment="1" applyProtection="1">
      <alignment horizontal="right" vertical="center"/>
      <protection locked="0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164" fontId="25" fillId="2" borderId="0" xfId="0" applyNumberFormat="1" applyFont="1" applyFill="1" applyAlignment="1">
      <alignment horizontal="left" vertical="center" wrapText="1"/>
    </xf>
    <xf numFmtId="164" fontId="25" fillId="2" borderId="1" xfId="0" applyNumberFormat="1" applyFont="1" applyFill="1" applyBorder="1" applyAlignment="1">
      <alignment horizontal="left" vertical="center" wrapText="1"/>
    </xf>
    <xf numFmtId="166" fontId="25" fillId="2" borderId="0" xfId="0" applyNumberFormat="1" applyFont="1" applyFill="1" applyAlignment="1">
      <alignment horizontal="left" vertical="center" wrapText="1"/>
    </xf>
    <xf numFmtId="166" fontId="25" fillId="2" borderId="1" xfId="0" applyNumberFormat="1" applyFont="1" applyFill="1" applyBorder="1" applyAlignment="1">
      <alignment horizontal="left" vertical="center" wrapText="1"/>
    </xf>
    <xf numFmtId="0" fontId="17" fillId="2" borderId="0" xfId="0" applyFont="1" applyFill="1" applyAlignment="1">
      <alignment vertical="center" wrapText="1"/>
    </xf>
    <xf numFmtId="0" fontId="9" fillId="4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vertical="center" wrapText="1"/>
    </xf>
    <xf numFmtId="164" fontId="18" fillId="2" borderId="0" xfId="0" applyNumberFormat="1" applyFont="1" applyFill="1" applyAlignment="1">
      <alignment horizontal="right" vertical="center" wrapText="1"/>
    </xf>
    <xf numFmtId="0" fontId="31" fillId="2" borderId="0" xfId="0" applyFont="1" applyFill="1" applyAlignment="1">
      <alignment vertical="center" wrapText="1"/>
    </xf>
    <xf numFmtId="0" fontId="18" fillId="2" borderId="0" xfId="0" applyFont="1" applyFill="1" applyAlignment="1">
      <alignment vertical="top" wrapText="1"/>
    </xf>
    <xf numFmtId="0" fontId="27" fillId="2" borderId="0" xfId="0" applyFont="1" applyFill="1" applyAlignment="1">
      <alignment vertical="center" wrapText="1"/>
    </xf>
    <xf numFmtId="0" fontId="27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12" fillId="2" borderId="0" xfId="0" applyFont="1" applyFill="1" applyAlignment="1">
      <alignment vertical="center" wrapText="1"/>
    </xf>
    <xf numFmtId="164" fontId="29" fillId="3" borderId="0" xfId="0" applyNumberFormat="1" applyFont="1" applyFill="1" applyAlignment="1" applyProtection="1">
      <alignment horizontal="right" vertical="center" wrapText="1"/>
      <protection locked="0"/>
    </xf>
    <xf numFmtId="164" fontId="3" fillId="2" borderId="0" xfId="0" applyNumberFormat="1" applyFont="1" applyFill="1" applyAlignment="1">
      <alignment vertical="center" wrapText="1"/>
    </xf>
    <xf numFmtId="170" fontId="30" fillId="2" borderId="0" xfId="0" applyNumberFormat="1" applyFont="1" applyFill="1" applyAlignment="1">
      <alignment vertical="center" wrapText="1"/>
    </xf>
    <xf numFmtId="0" fontId="30" fillId="2" borderId="0" xfId="0" applyFont="1" applyFill="1" applyAlignment="1">
      <alignment vertical="center" wrapText="1"/>
    </xf>
    <xf numFmtId="0" fontId="22" fillId="5" borderId="2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22" fillId="6" borderId="3" xfId="0" applyFont="1" applyFill="1" applyBorder="1" applyAlignment="1">
      <alignment vertical="center" wrapText="1"/>
    </xf>
    <xf numFmtId="0" fontId="24" fillId="2" borderId="0" xfId="0" applyFont="1" applyFill="1" applyAlignment="1">
      <alignment vertical="center" wrapText="1"/>
    </xf>
    <xf numFmtId="164" fontId="32" fillId="2" borderId="0" xfId="0" applyNumberFormat="1" applyFont="1" applyFill="1" applyAlignment="1">
      <alignment vertical="center" wrapText="1"/>
    </xf>
    <xf numFmtId="0" fontId="22" fillId="2" borderId="0" xfId="0" applyFont="1" applyFill="1" applyAlignment="1">
      <alignment vertical="center" wrapText="1"/>
    </xf>
    <xf numFmtId="0" fontId="33" fillId="3" borderId="0" xfId="0" applyFont="1" applyFill="1" applyAlignment="1" applyProtection="1">
      <alignment horizontal="left" vertical="center" wrapText="1"/>
      <protection locked="0"/>
    </xf>
    <xf numFmtId="0" fontId="6" fillId="3" borderId="0" xfId="0" applyFont="1" applyFill="1" applyAlignment="1" applyProtection="1">
      <alignment horizontal="left" vertical="center" wrapText="1"/>
      <protection locked="0"/>
    </xf>
    <xf numFmtId="171" fontId="6" fillId="3" borderId="0" xfId="0" applyNumberFormat="1" applyFont="1" applyFill="1" applyAlignment="1" applyProtection="1">
      <alignment horizontal="right" vertical="center" wrapText="1"/>
      <protection locked="0"/>
    </xf>
    <xf numFmtId="0" fontId="6" fillId="3" borderId="0" xfId="0" applyFont="1" applyFill="1" applyAlignment="1" applyProtection="1">
      <alignment horizontal="right" vertical="center" wrapText="1"/>
      <protection locked="0"/>
    </xf>
    <xf numFmtId="17" fontId="33" fillId="3" borderId="0" xfId="0" applyNumberFormat="1" applyFont="1" applyFill="1" applyAlignment="1" applyProtection="1">
      <alignment horizontal="right" vertical="center" wrapText="1"/>
      <protection locked="0"/>
    </xf>
    <xf numFmtId="1" fontId="33" fillId="3" borderId="0" xfId="0" applyNumberFormat="1" applyFont="1" applyFill="1" applyAlignment="1" applyProtection="1">
      <alignment horizontal="right" vertical="center" wrapText="1"/>
      <protection locked="0"/>
    </xf>
    <xf numFmtId="164" fontId="33" fillId="3" borderId="0" xfId="0" applyNumberFormat="1" applyFont="1" applyFill="1" applyAlignment="1" applyProtection="1">
      <alignment horizontal="right" vertical="center" wrapText="1"/>
      <protection locked="0"/>
    </xf>
    <xf numFmtId="17" fontId="9" fillId="4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165" fontId="5" fillId="3" borderId="0" xfId="0" applyNumberFormat="1" applyFont="1" applyFill="1" applyAlignment="1" applyProtection="1">
      <alignment horizontal="right" vertical="center"/>
      <protection locked="0"/>
    </xf>
    <xf numFmtId="164" fontId="13" fillId="5" borderId="2" xfId="0" applyNumberFormat="1" applyFont="1" applyFill="1" applyBorder="1" applyAlignment="1">
      <alignment vertical="center"/>
    </xf>
    <xf numFmtId="0" fontId="12" fillId="5" borderId="2" xfId="0" applyFont="1" applyFill="1" applyBorder="1" applyAlignment="1">
      <alignment vertical="center"/>
    </xf>
    <xf numFmtId="164" fontId="13" fillId="6" borderId="3" xfId="0" applyNumberFormat="1" applyFont="1" applyFill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7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164" fontId="28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166" fontId="28" fillId="2" borderId="0" xfId="0" applyNumberFormat="1" applyFont="1" applyFill="1" applyAlignment="1">
      <alignment vertical="center"/>
    </xf>
    <xf numFmtId="169" fontId="28" fillId="2" borderId="0" xfId="0" applyNumberFormat="1" applyFont="1" applyFill="1" applyAlignment="1">
      <alignment vertical="center"/>
    </xf>
  </cellXfs>
  <cellStyles count="1">
    <cellStyle name="Normal" xfId="0" builtinId="0"/>
  </cellStyles>
  <dxfs count="8">
    <dxf>
      <font>
        <color rgb="FF9C3928"/>
      </font>
    </dxf>
    <dxf>
      <font>
        <color rgb="FF9C3928"/>
      </font>
      <fill>
        <patternFill patternType="solid">
          <bgColor rgb="FFFFF0E9"/>
        </patternFill>
      </fill>
    </dxf>
    <dxf>
      <font>
        <color rgb="FF9C3928"/>
      </font>
    </dxf>
    <dxf>
      <font>
        <color rgb="FF9C3928"/>
      </font>
    </dxf>
    <dxf>
      <font>
        <color rgb="FF9C3928"/>
      </font>
    </dxf>
    <dxf>
      <font>
        <color rgb="FF9C3928"/>
      </font>
    </dxf>
    <dxf>
      <font>
        <color rgb="FF9C3928"/>
      </font>
    </dxf>
    <dxf>
      <font>
        <color rgb="FF9C392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 sz="900">
                <a:latin typeface="Arial"/>
                <a:ea typeface="Arial"/>
                <a:cs typeface="Arial"/>
              </a:rPr>
              <a:t>Monthly results (USD)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Revenue</c:v>
          </c:tx>
          <c:spPr>
            <a:ln w="19050">
              <a:solidFill>
                <a:srgbClr val="102D39"/>
              </a:solidFill>
              <a:prstDash val="solid"/>
            </a:ln>
          </c:spPr>
          <c:marker>
            <c:symbol val="none"/>
          </c:marker>
          <c:cat>
            <c:strRef>
              <c:f>'Monthly financials'!$R$14:$R$25</c:f>
              <c:strCache>
                <c:ptCount val="12"/>
                <c:pt idx="0">
                  <c:v>Jan-26</c:v>
                </c:pt>
                <c:pt idx="1">
                  <c:v>Feb-26</c:v>
                </c:pt>
                <c:pt idx="2">
                  <c:v>Mar-26</c:v>
                </c:pt>
                <c:pt idx="3">
                  <c:v>Apr-26</c:v>
                </c:pt>
                <c:pt idx="4">
                  <c:v>May-26</c:v>
                </c:pt>
                <c:pt idx="5">
                  <c:v>Jun-26</c:v>
                </c:pt>
                <c:pt idx="6">
                  <c:v>Jul-26</c:v>
                </c:pt>
                <c:pt idx="7">
                  <c:v>Aug-26</c:v>
                </c:pt>
                <c:pt idx="8">
                  <c:v>Sep-26</c:v>
                </c:pt>
                <c:pt idx="9">
                  <c:v>Oct-26</c:v>
                </c:pt>
                <c:pt idx="10">
                  <c:v>Nov-26</c:v>
                </c:pt>
                <c:pt idx="11">
                  <c:v>Dec-26</c:v>
                </c:pt>
              </c:strCache>
            </c:strRef>
          </c:cat>
          <c:val>
            <c:numRef>
              <c:f>'Monthly financials'!$S$14:$S$25</c:f>
              <c:numCache>
                <c:formatCode>"$"#,##0;\("$"#,##0\);"-"</c:formatCode>
                <c:ptCount val="12"/>
                <c:pt idx="0">
                  <c:v>48000</c:v>
                </c:pt>
                <c:pt idx="1">
                  <c:v>51000</c:v>
                </c:pt>
                <c:pt idx="2">
                  <c:v>54000</c:v>
                </c:pt>
                <c:pt idx="3">
                  <c:v>50000</c:v>
                </c:pt>
                <c:pt idx="4">
                  <c:v>57000</c:v>
                </c:pt>
                <c:pt idx="5">
                  <c:v>60000</c:v>
                </c:pt>
                <c:pt idx="6">
                  <c:v>62000</c:v>
                </c:pt>
                <c:pt idx="7">
                  <c:v>65000</c:v>
                </c:pt>
                <c:pt idx="8">
                  <c:v>68000</c:v>
                </c:pt>
                <c:pt idx="9">
                  <c:v>66000</c:v>
                </c:pt>
                <c:pt idx="10">
                  <c:v>72000</c:v>
                </c:pt>
                <c:pt idx="11">
                  <c:v>76000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05-4E31-85E6-695D2A89572F}"/>
            </c:ext>
          </c:extLst>
        </c:ser>
        <c:ser>
          <c:idx val="1"/>
          <c:order val="1"/>
          <c:tx>
            <c:v>Operating profit</c:v>
          </c:tx>
          <c:spPr>
            <a:ln w="19050">
              <a:solidFill>
                <a:srgbClr val="7EAA48"/>
              </a:solidFill>
              <a:prstDash val="solid"/>
            </a:ln>
          </c:spPr>
          <c:marker>
            <c:symbol val="none"/>
          </c:marker>
          <c:cat>
            <c:strRef>
              <c:f>'Monthly financials'!$R$14:$R$25</c:f>
              <c:strCache>
                <c:ptCount val="12"/>
                <c:pt idx="0">
                  <c:v>Jan-26</c:v>
                </c:pt>
                <c:pt idx="1">
                  <c:v>Feb-26</c:v>
                </c:pt>
                <c:pt idx="2">
                  <c:v>Mar-26</c:v>
                </c:pt>
                <c:pt idx="3">
                  <c:v>Apr-26</c:v>
                </c:pt>
                <c:pt idx="4">
                  <c:v>May-26</c:v>
                </c:pt>
                <c:pt idx="5">
                  <c:v>Jun-26</c:v>
                </c:pt>
                <c:pt idx="6">
                  <c:v>Jul-26</c:v>
                </c:pt>
                <c:pt idx="7">
                  <c:v>Aug-26</c:v>
                </c:pt>
                <c:pt idx="8">
                  <c:v>Sep-26</c:v>
                </c:pt>
                <c:pt idx="9">
                  <c:v>Oct-26</c:v>
                </c:pt>
                <c:pt idx="10">
                  <c:v>Nov-26</c:v>
                </c:pt>
                <c:pt idx="11">
                  <c:v>Dec-26</c:v>
                </c:pt>
              </c:strCache>
            </c:strRef>
          </c:cat>
          <c:val>
            <c:numRef>
              <c:f>'Monthly financials'!$T$14:$T$25</c:f>
              <c:numCache>
                <c:formatCode>"$"#,##0;\("$"#,##0\);"-"</c:formatCode>
                <c:ptCount val="12"/>
                <c:pt idx="0">
                  <c:v>7780</c:v>
                </c:pt>
                <c:pt idx="1">
                  <c:v>9120</c:v>
                </c:pt>
                <c:pt idx="2">
                  <c:v>9932</c:v>
                </c:pt>
                <c:pt idx="3">
                  <c:v>7543</c:v>
                </c:pt>
                <c:pt idx="4">
                  <c:v>10799</c:v>
                </c:pt>
                <c:pt idx="5">
                  <c:v>11542</c:v>
                </c:pt>
                <c:pt idx="6">
                  <c:v>12375</c:v>
                </c:pt>
                <c:pt idx="7">
                  <c:v>13367</c:v>
                </c:pt>
                <c:pt idx="8">
                  <c:v>14183</c:v>
                </c:pt>
                <c:pt idx="9">
                  <c:v>12727</c:v>
                </c:pt>
                <c:pt idx="10">
                  <c:v>15351</c:v>
                </c:pt>
                <c:pt idx="11">
                  <c:v>16401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05-4E31-85E6-695D2A8957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0,&quot;K&quot;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  <c:txPr>
        <a:bodyPr anchorCtr="1"/>
        <a:lstStyle/>
        <a:p>
          <a:pPr>
            <a:defRPr sz="750"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gap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 sz="900">
                <a:latin typeface="Arial"/>
                <a:ea typeface="Arial"/>
                <a:cs typeface="Arial"/>
              </a:rPr>
              <a:t>Operating expenses (USD)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Period total</c:v>
          </c:tx>
          <c:spPr>
            <a:solidFill>
              <a:srgbClr val="7EAA48"/>
            </a:solidFill>
          </c:spPr>
          <c:invertIfNegative val="0"/>
          <c:cat>
            <c:strRef>
              <c:f>Dashboard!$R$2:$R$6</c:f>
              <c:strCache>
                <c:ptCount val="5"/>
                <c:pt idx="0">
                  <c:v>People</c:v>
                </c:pt>
                <c:pt idx="1">
                  <c:v>Occupancy</c:v>
                </c:pt>
                <c:pt idx="2">
                  <c:v>Marketing</c:v>
                </c:pt>
                <c:pt idx="3">
                  <c:v>Insurance</c:v>
                </c:pt>
                <c:pt idx="4">
                  <c:v>Other</c:v>
                </c:pt>
              </c:strCache>
            </c:strRef>
          </c:cat>
          <c:val>
            <c:numRef>
              <c:f>Dashboard!$S$2:$S$6</c:f>
              <c:numCache>
                <c:formatCode>General</c:formatCode>
                <c:ptCount val="5"/>
                <c:pt idx="0">
                  <c:v>129900</c:v>
                </c:pt>
                <c:pt idx="1">
                  <c:v>45250</c:v>
                </c:pt>
                <c:pt idx="2">
                  <c:v>26550</c:v>
                </c:pt>
                <c:pt idx="3">
                  <c:v>11700</c:v>
                </c:pt>
                <c:pt idx="4">
                  <c:v>33630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55-4C50-A7FF-4B225B63E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0,&quot;K&quot;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plotVisOnly val="0"/>
    <c:dispBlanksAs val="gap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15</xdr:row>
      <xdr:rowOff>0</xdr:rowOff>
    </xdr:from>
    <xdr:to>
      <xdr:col>15</xdr:col>
      <xdr:colOff>0</xdr:colOff>
      <xdr:row>30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insurmybiz.com/get-a-quo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02D39"/>
    <pageSetUpPr fitToPage="1"/>
  </sheetPr>
  <dimension ref="A1:T57"/>
  <sheetViews>
    <sheetView showGridLines="0" tabSelected="1" zoomScale="80" workbookViewId="0">
      <selection activeCell="B2" sqref="B2:O2"/>
    </sheetView>
  </sheetViews>
  <sheetFormatPr defaultRowHeight="14.25"/>
  <cols>
    <col min="1" max="1" width="3" customWidth="1"/>
    <col min="2" max="16" width="9" customWidth="1"/>
    <col min="18" max="20" width="12" hidden="1" customWidth="1"/>
  </cols>
  <sheetData>
    <row r="1" spans="1:19" ht="18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R1" t="s">
        <v>0</v>
      </c>
      <c r="S1" t="s">
        <v>1</v>
      </c>
    </row>
    <row r="2" spans="1:19" ht="18.95" customHeight="1">
      <c r="A2" s="2"/>
      <c r="B2" s="44" t="s">
        <v>2</v>
      </c>
      <c r="C2" s="44" t="s">
        <v>2</v>
      </c>
      <c r="D2" s="44" t="s">
        <v>2</v>
      </c>
      <c r="E2" s="44" t="s">
        <v>2</v>
      </c>
      <c r="F2" s="44" t="s">
        <v>2</v>
      </c>
      <c r="G2" s="44" t="s">
        <v>2</v>
      </c>
      <c r="H2" s="44" t="s">
        <v>2</v>
      </c>
      <c r="I2" s="44" t="s">
        <v>2</v>
      </c>
      <c r="J2" s="44" t="s">
        <v>2</v>
      </c>
      <c r="K2" s="44" t="s">
        <v>2</v>
      </c>
      <c r="L2" s="44" t="s">
        <v>2</v>
      </c>
      <c r="M2" s="44" t="s">
        <v>2</v>
      </c>
      <c r="N2" s="44" t="s">
        <v>2</v>
      </c>
      <c r="O2" s="44" t="s">
        <v>2</v>
      </c>
      <c r="P2" s="2"/>
      <c r="R2" s="34" t="str">
        <f>K34</f>
        <v>People</v>
      </c>
      <c r="S2" s="34">
        <f>IF(ISNUMBER(N34),N34,NA())</f>
        <v>129900</v>
      </c>
    </row>
    <row r="3" spans="1:19" ht="18.9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R3" s="34" t="str">
        <f>K35</f>
        <v>Occupancy</v>
      </c>
      <c r="S3" s="34">
        <f>IF(ISNUMBER(N35),N35,NA())</f>
        <v>45250</v>
      </c>
    </row>
    <row r="4" spans="1:19" ht="18.95" customHeight="1">
      <c r="A4" s="2"/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  <c r="G4" s="45" t="s">
        <v>3</v>
      </c>
      <c r="H4" s="45" t="s">
        <v>3</v>
      </c>
      <c r="I4" s="45" t="s">
        <v>3</v>
      </c>
      <c r="J4" s="45" t="s">
        <v>3</v>
      </c>
      <c r="K4" s="45" t="s">
        <v>3</v>
      </c>
      <c r="L4" s="45" t="s">
        <v>3</v>
      </c>
      <c r="M4" s="45" t="s">
        <v>3</v>
      </c>
      <c r="N4" s="45" t="s">
        <v>3</v>
      </c>
      <c r="O4" s="45" t="s">
        <v>3</v>
      </c>
      <c r="P4" s="2"/>
      <c r="R4" s="34" t="str">
        <f>K36</f>
        <v>Marketing</v>
      </c>
      <c r="S4" s="34">
        <f>IF(ISNUMBER(N36),N36,NA())</f>
        <v>26550</v>
      </c>
    </row>
    <row r="5" spans="1:19" ht="18.95" customHeight="1">
      <c r="A5" s="2"/>
      <c r="B5" s="45" t="s">
        <v>3</v>
      </c>
      <c r="C5" s="45" t="s">
        <v>3</v>
      </c>
      <c r="D5" s="45" t="s">
        <v>3</v>
      </c>
      <c r="E5" s="45" t="s">
        <v>3</v>
      </c>
      <c r="F5" s="45" t="s">
        <v>3</v>
      </c>
      <c r="G5" s="45" t="s">
        <v>3</v>
      </c>
      <c r="H5" s="45" t="s">
        <v>3</v>
      </c>
      <c r="I5" s="45" t="s">
        <v>3</v>
      </c>
      <c r="J5" s="45" t="s">
        <v>3</v>
      </c>
      <c r="K5" s="45" t="s">
        <v>3</v>
      </c>
      <c r="L5" s="45" t="s">
        <v>3</v>
      </c>
      <c r="M5" s="45" t="s">
        <v>3</v>
      </c>
      <c r="N5" s="45" t="s">
        <v>3</v>
      </c>
      <c r="O5" s="45" t="s">
        <v>3</v>
      </c>
      <c r="P5" s="2"/>
      <c r="R5" s="34" t="str">
        <f>K37</f>
        <v>Insurance</v>
      </c>
      <c r="S5" s="34">
        <f>IF(ISNUMBER(N37),N37,NA())</f>
        <v>11700</v>
      </c>
    </row>
    <row r="6" spans="1:19" ht="18.95" customHeight="1">
      <c r="A6" s="2"/>
      <c r="B6" s="46" t="s">
        <v>4</v>
      </c>
      <c r="C6" s="46" t="s">
        <v>4</v>
      </c>
      <c r="D6" s="46" t="s">
        <v>4</v>
      </c>
      <c r="E6" s="46" t="s">
        <v>4</v>
      </c>
      <c r="F6" s="46" t="s">
        <v>4</v>
      </c>
      <c r="G6" s="46" t="s">
        <v>4</v>
      </c>
      <c r="H6" s="46" t="s">
        <v>4</v>
      </c>
      <c r="I6" s="46" t="s">
        <v>4</v>
      </c>
      <c r="J6" s="46" t="s">
        <v>4</v>
      </c>
      <c r="K6" s="46" t="s">
        <v>4</v>
      </c>
      <c r="L6" s="46" t="s">
        <v>4</v>
      </c>
      <c r="M6" s="46" t="s">
        <v>4</v>
      </c>
      <c r="N6" s="46" t="s">
        <v>4</v>
      </c>
      <c r="O6" s="46" t="s">
        <v>4</v>
      </c>
      <c r="P6" s="2"/>
      <c r="R6" s="34" t="str">
        <f>K38</f>
        <v>Other</v>
      </c>
      <c r="S6" s="34">
        <f>IF(ISNUMBER(N38),N38,NA())</f>
        <v>33630</v>
      </c>
    </row>
    <row r="7" spans="1:19" ht="18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9" ht="18.95" customHeight="1">
      <c r="A8" s="2"/>
      <c r="B8" s="47" t="str">
        <f>IF(AND(ISNUMBER('Monthly financials'!G8),'Monthly financials'!G8&gt;0),IF(ISNUMBER('Monthly financials'!C8),TEXT('Monthly financials'!C8,"mmm yyyy")&amp;" start. ","Choose your first month. ")&amp;'Monthly financials'!P46&amp;" of "&amp;('Monthly financials'!G8*18)&amp;" amounts entered. "&amp;IF('Monthly financials'!P45='Monthly financials'!G8,"Explore opportunities below, then set a profit goal.","Complete every included category; enter 0 when it does not apply."),"Start with one month: choose your first month, set Months included to 1, and fill the 18 blue amounts in column C.")</f>
        <v>Jan 2026 start. 216 of 216 amounts entered. Explore opportunities below, then set a profit goal.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2"/>
    </row>
    <row r="9" spans="1:19" ht="18.95" customHeight="1">
      <c r="A9" s="2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2"/>
    </row>
    <row r="10" spans="1:19" ht="18.9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9" ht="18.95" customHeight="1">
      <c r="A11" s="2"/>
      <c r="B11" s="47" t="s">
        <v>5</v>
      </c>
      <c r="C11" s="47" t="s">
        <v>5</v>
      </c>
      <c r="D11" s="47" t="s">
        <v>5</v>
      </c>
      <c r="E11" s="47" t="s">
        <v>5</v>
      </c>
      <c r="F11" s="2"/>
      <c r="G11" s="47" t="s">
        <v>6</v>
      </c>
      <c r="H11" s="47" t="s">
        <v>6</v>
      </c>
      <c r="I11" s="47" t="s">
        <v>6</v>
      </c>
      <c r="J11" s="47" t="s">
        <v>6</v>
      </c>
      <c r="K11" s="2"/>
      <c r="L11" s="47" t="s">
        <v>7</v>
      </c>
      <c r="M11" s="47" t="s">
        <v>7</v>
      </c>
      <c r="N11" s="47" t="s">
        <v>7</v>
      </c>
      <c r="O11" s="47" t="s">
        <v>7</v>
      </c>
      <c r="P11" s="2"/>
    </row>
    <row r="12" spans="1:19" ht="18.95" customHeight="1">
      <c r="A12" s="2"/>
      <c r="B12" s="48">
        <f>IF(ISNUMBER('Monthly financials'!P17),'Monthly financials'!P17,"n.a.")</f>
        <v>729000</v>
      </c>
      <c r="C12" s="48"/>
      <c r="D12" s="48"/>
      <c r="E12" s="48"/>
      <c r="F12" s="2"/>
      <c r="G12" s="48">
        <f>IF(ISNUMBER('Monthly financials'!P43),'Monthly financials'!P43,"n.a.")</f>
        <v>138960</v>
      </c>
      <c r="H12" s="48"/>
      <c r="I12" s="48"/>
      <c r="J12" s="48"/>
      <c r="K12" s="2"/>
      <c r="L12" s="50">
        <f>IF(ISNUMBER('Monthly financials'!P40),'Monthly financials'!P40,"n.a.")</f>
        <v>0.19358024691358025</v>
      </c>
      <c r="M12" s="50"/>
      <c r="N12" s="50"/>
      <c r="O12" s="50"/>
      <c r="P12" s="2"/>
    </row>
    <row r="13" spans="1:19" ht="18.95" customHeight="1">
      <c r="A13" s="2"/>
      <c r="B13" s="49"/>
      <c r="C13" s="49"/>
      <c r="D13" s="49"/>
      <c r="E13" s="49"/>
      <c r="F13" s="2"/>
      <c r="G13" s="49"/>
      <c r="H13" s="49"/>
      <c r="I13" s="49"/>
      <c r="J13" s="49"/>
      <c r="K13" s="2"/>
      <c r="L13" s="51"/>
      <c r="M13" s="51"/>
      <c r="N13" s="51"/>
      <c r="O13" s="51"/>
      <c r="P13" s="2"/>
    </row>
    <row r="14" spans="1:19" ht="18.9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9" ht="18.95" customHeight="1">
      <c r="A15" s="2"/>
      <c r="B15" s="52" t="s">
        <v>8</v>
      </c>
      <c r="C15" s="52" t="s">
        <v>8</v>
      </c>
      <c r="D15" s="52" t="s">
        <v>8</v>
      </c>
      <c r="E15" s="52" t="s">
        <v>8</v>
      </c>
      <c r="F15" s="52" t="s">
        <v>8</v>
      </c>
      <c r="G15" s="52" t="s">
        <v>8</v>
      </c>
      <c r="H15" s="52" t="s">
        <v>8</v>
      </c>
      <c r="I15" s="52" t="s">
        <v>8</v>
      </c>
      <c r="J15" s="2"/>
      <c r="K15" s="52" t="s">
        <v>9</v>
      </c>
      <c r="L15" s="52" t="s">
        <v>9</v>
      </c>
      <c r="M15" s="52" t="s">
        <v>9</v>
      </c>
      <c r="N15" s="52" t="s">
        <v>9</v>
      </c>
      <c r="O15" s="52" t="s">
        <v>9</v>
      </c>
      <c r="P15" s="2"/>
    </row>
    <row r="16" spans="1:19" ht="18.9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18.9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18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18.9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18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ht="18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ht="18.9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18.9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18.9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18.9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18.9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ht="18.9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18.9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ht="18.9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ht="18.9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18.9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ht="18.95" customHeight="1">
      <c r="A32" s="2"/>
      <c r="B32" s="52" t="s">
        <v>10</v>
      </c>
      <c r="C32" s="52" t="s">
        <v>10</v>
      </c>
      <c r="D32" s="52" t="s">
        <v>10</v>
      </c>
      <c r="E32" s="52" t="s">
        <v>10</v>
      </c>
      <c r="F32" s="52" t="s">
        <v>10</v>
      </c>
      <c r="G32" s="52" t="s">
        <v>10</v>
      </c>
      <c r="H32" s="52" t="s">
        <v>10</v>
      </c>
      <c r="I32" s="52" t="s">
        <v>10</v>
      </c>
      <c r="J32" s="2"/>
      <c r="K32" s="2"/>
      <c r="L32" s="2"/>
      <c r="M32" s="2"/>
      <c r="N32" s="2"/>
      <c r="O32" s="2"/>
      <c r="P32" s="2"/>
    </row>
    <row r="33" spans="1:16" ht="30.95" customHeight="1">
      <c r="A33" s="2"/>
      <c r="B33" s="56" t="s">
        <v>11</v>
      </c>
      <c r="C33" s="56" t="s">
        <v>11</v>
      </c>
      <c r="D33" s="56" t="s">
        <v>11</v>
      </c>
      <c r="E33" s="56" t="s">
        <v>11</v>
      </c>
      <c r="F33" s="56" t="s">
        <v>11</v>
      </c>
      <c r="G33" s="56" t="s">
        <v>11</v>
      </c>
      <c r="H33" s="56" t="s">
        <v>11</v>
      </c>
      <c r="I33" s="56" t="s">
        <v>11</v>
      </c>
      <c r="J33" s="2"/>
      <c r="K33" s="53" t="s">
        <v>0</v>
      </c>
      <c r="L33" s="53"/>
      <c r="M33" s="53"/>
      <c r="N33" s="53" t="s">
        <v>1</v>
      </c>
      <c r="O33" s="53"/>
      <c r="P33" s="2"/>
    </row>
    <row r="34" spans="1:16" ht="18.95" customHeight="1">
      <c r="A34" s="2"/>
      <c r="B34" s="57" t="str">
        <f>IF(AND(ISNUMBER('Monthly financials'!G8),'Monthly financials'!G8&gt;0,'Monthly financials'!P45='Monthly financials'!G8,ISNUMBER('Monthly financials'!P43)),IF(AND(AND(ISNUMBER('Monthly financials'!G8),'Monthly financials'!G8&gt;0,'Monthly financials'!P45='Monthly financials'!G8,ISNUMBER('Monthly financials'!P43)),'Monthly financials'!G8&gt;=2,ISNUMBER('Monthly financials'!C24),ISNUMBER(INDEX('Monthly financials'!C24:N24,1,'Monthly financials'!G8))),IF('Monthly financials'!C24&gt;INDEX('Monthly financials'!C24:N24,1,'Monthly financials'!G8),"Gross margin fell "&amp;TEXT(('Monthly financials'!C24-INDEX('Monthly financials'!C24:N24,1,'Monthly financials'!G8))*100,"0.0")&amp;" pp. Recovering that share at period revenue illustrates "&amp;TEXT(('Monthly financials'!C24-INDEX('Monthly financials'!C24:N24,1,'Monthly financials'!G8))*'Monthly financials'!P17,"$#,##0")&amp;" before tax. Review pricing, product mix, and direct costs.","At unchanged sales volume and costs, a 1% price rise illustrates "&amp;TEXT('Monthly financials'!P15*0.01,"$#,##0")&amp;" extra profit. Test demand on What-if planner."),"At unchanged sales volume and costs, a 1% price rise illustrates "&amp;TEXT('Monthly financials'!P15*0.01,"$#,##0")&amp;" extra profit. Test demand on What-if planner."),"Complete one month of figures to see a pricing or margin opportunity.")</f>
        <v>Gross margin fell 5.1 pp. Recovering that share at period revenue illustrates $36,968 before tax. Review pricing, product mix, and direct costs.</v>
      </c>
      <c r="C34" s="57"/>
      <c r="D34" s="57"/>
      <c r="E34" s="57"/>
      <c r="F34" s="57"/>
      <c r="G34" s="57"/>
      <c r="H34" s="57"/>
      <c r="I34" s="57"/>
      <c r="J34" s="2"/>
      <c r="K34" s="54" t="s">
        <v>12</v>
      </c>
      <c r="L34" s="54" t="s">
        <v>12</v>
      </c>
      <c r="M34" s="54" t="s">
        <v>12</v>
      </c>
      <c r="N34" s="55">
        <f>IF(COUNT('Monthly financials'!P27)=1,SUM('Monthly financials'!P27),"")</f>
        <v>129900</v>
      </c>
      <c r="O34" s="55"/>
      <c r="P34" s="2"/>
    </row>
    <row r="35" spans="1:16" ht="18.95" customHeight="1">
      <c r="A35" s="2"/>
      <c r="B35" s="57"/>
      <c r="C35" s="57"/>
      <c r="D35" s="57"/>
      <c r="E35" s="57"/>
      <c r="F35" s="57"/>
      <c r="G35" s="57"/>
      <c r="H35" s="57"/>
      <c r="I35" s="57"/>
      <c r="J35" s="2"/>
      <c r="K35" s="54" t="s">
        <v>13</v>
      </c>
      <c r="L35" s="54" t="s">
        <v>13</v>
      </c>
      <c r="M35" s="54" t="s">
        <v>13</v>
      </c>
      <c r="N35" s="55">
        <f>IF(COUNT('Monthly financials'!P28,'Monthly financials'!P32)=2,SUM('Monthly financials'!P28,'Monthly financials'!P32),"")</f>
        <v>45250</v>
      </c>
      <c r="O35" s="55"/>
      <c r="P35" s="2"/>
    </row>
    <row r="36" spans="1:16" ht="18.95" customHeight="1">
      <c r="A36" s="2"/>
      <c r="B36" s="57"/>
      <c r="C36" s="57"/>
      <c r="D36" s="57"/>
      <c r="E36" s="57"/>
      <c r="F36" s="57"/>
      <c r="G36" s="57"/>
      <c r="H36" s="57"/>
      <c r="I36" s="57"/>
      <c r="J36" s="2"/>
      <c r="K36" s="54" t="s">
        <v>14</v>
      </c>
      <c r="L36" s="54" t="s">
        <v>14</v>
      </c>
      <c r="M36" s="54" t="s">
        <v>14</v>
      </c>
      <c r="N36" s="55">
        <f>IF(COUNT('Monthly financials'!P29)=1,SUM('Monthly financials'!P29),"")</f>
        <v>26550</v>
      </c>
      <c r="O36" s="55"/>
      <c r="P36" s="2"/>
    </row>
    <row r="37" spans="1:16" ht="18.95" customHeight="1">
      <c r="A37" s="2"/>
      <c r="B37" s="57"/>
      <c r="C37" s="57"/>
      <c r="D37" s="57"/>
      <c r="E37" s="57"/>
      <c r="F37" s="57"/>
      <c r="G37" s="57"/>
      <c r="H37" s="57"/>
      <c r="I37" s="57"/>
      <c r="J37" s="2"/>
      <c r="K37" s="54" t="s">
        <v>15</v>
      </c>
      <c r="L37" s="54" t="s">
        <v>15</v>
      </c>
      <c r="M37" s="54" t="s">
        <v>15</v>
      </c>
      <c r="N37" s="55">
        <f>IF(COUNT('Monthly financials'!P31)=1,SUM('Monthly financials'!P31),"")</f>
        <v>11700</v>
      </c>
      <c r="O37" s="55"/>
      <c r="P37" s="2"/>
    </row>
    <row r="38" spans="1:16" ht="18.95" customHeight="1">
      <c r="A38" s="2"/>
      <c r="B38" s="35"/>
      <c r="C38" s="35"/>
      <c r="D38" s="35"/>
      <c r="E38" s="35"/>
      <c r="F38" s="35"/>
      <c r="G38" s="35"/>
      <c r="H38" s="35"/>
      <c r="I38" s="35"/>
      <c r="J38" s="2"/>
      <c r="K38" s="54" t="s">
        <v>16</v>
      </c>
      <c r="L38" s="54" t="s">
        <v>16</v>
      </c>
      <c r="M38" s="54" t="s">
        <v>16</v>
      </c>
      <c r="N38" s="55">
        <f>IF(COUNT('Monthly financials'!P30,'Monthly financials'!P33:P37)=6,SUM('Monthly financials'!P30,'Monthly financials'!P33:P37),"")</f>
        <v>33630</v>
      </c>
      <c r="O38" s="55"/>
      <c r="P38" s="2"/>
    </row>
    <row r="39" spans="1:16" ht="18.95" customHeight="1">
      <c r="A39" s="2"/>
      <c r="B39" s="57" t="str">
        <f>IF(AND(ISNUMBER('Monthly financials'!G8),'Monthly financials'!G8&gt;0,'Monthly financials'!P45='Monthly financials'!G8,ISNUMBER('Monthly financials'!P43)),IF(COUNT('Monthly financials'!M60:M70)&gt;0,IF(MAX('Monthly financials'!M60:M70)&gt;0,INDEX('Monthly financials'!B60:B70,MATCH(MAX('Monthly financials'!M60:M70),'Monthly financials'!M60:M70,0))&amp;" used a greater revenue share. Returning to its first-month share illustrates "&amp;TEXT(MAX('Monthly financials'!M60:M70),"$#,##0")&amp;" at period revenue. Review the expense growth table.","A 1% reduction in operating costs excluding depreciation illustrates "&amp;TEXT(('Monthly financials'!P38-'Monthly financials'!P36)*0.01,"$#,##0")&amp;" extra profit. Review recurring costs and contracts."),"A 1% reduction in operating costs excluding depreciation illustrates "&amp;TEXT(('Monthly financials'!P38-'Monthly financials'!P36)*0.01,"$#,##0")&amp;" extra profit. Review recurring costs and contracts."),"Complete the included figures to identify an expense opportunity.")</f>
        <v>Repairs &amp; maintenance used a greater revenue share. Returning to its first-month share illustrates $999 at period revenue. Review the expense growth table.</v>
      </c>
      <c r="C39" s="57"/>
      <c r="D39" s="57"/>
      <c r="E39" s="57"/>
      <c r="F39" s="57"/>
      <c r="G39" s="57"/>
      <c r="H39" s="57"/>
      <c r="I39" s="57"/>
      <c r="J39" s="2"/>
      <c r="K39" s="2"/>
      <c r="L39" s="2"/>
      <c r="M39" s="2"/>
      <c r="N39" s="2"/>
      <c r="O39" s="2"/>
      <c r="P39" s="2"/>
    </row>
    <row r="40" spans="1:16" ht="18.95" customHeight="1">
      <c r="A40" s="2"/>
      <c r="B40" s="57"/>
      <c r="C40" s="57"/>
      <c r="D40" s="57"/>
      <c r="E40" s="57"/>
      <c r="F40" s="57"/>
      <c r="G40" s="57"/>
      <c r="H40" s="57"/>
      <c r="I40" s="57"/>
      <c r="J40" s="2"/>
      <c r="K40" s="47" t="str">
        <f>IF(COUNT('Monthly financials'!P31,'Monthly financials'!P17)=2,IF('Monthly financials'!P17&gt;0,"Insurance: "&amp;TEXT('Monthly financials'!P31,"$#,##0")&amp;" for the period, or "&amp;TEXT('Monthly financials'!P31/'Monthly financials'!P17,"0.0%")&amp;" of revenue. This does not establish whether you are overpaying.","A revenue percentage requires positive revenue."),"Insurance cost context appears after the period figures are complete.")</f>
        <v>Insurance: $11,700 for the period, or 1.6% of revenue. This does not establish whether you are overpaying.</v>
      </c>
      <c r="L40" s="47"/>
      <c r="M40" s="47"/>
      <c r="N40" s="47"/>
      <c r="O40" s="47"/>
      <c r="P40" s="2"/>
    </row>
    <row r="41" spans="1:16" ht="18.95" customHeight="1">
      <c r="A41" s="2"/>
      <c r="B41" s="57"/>
      <c r="C41" s="57"/>
      <c r="D41" s="57"/>
      <c r="E41" s="57"/>
      <c r="F41" s="57"/>
      <c r="G41" s="57"/>
      <c r="H41" s="57"/>
      <c r="I41" s="57"/>
      <c r="J41" s="2"/>
      <c r="K41" s="47"/>
      <c r="L41" s="47"/>
      <c r="M41" s="47"/>
      <c r="N41" s="47"/>
      <c r="O41" s="47"/>
      <c r="P41" s="2"/>
    </row>
    <row r="42" spans="1:16" ht="18.95" customHeight="1">
      <c r="A42" s="2"/>
      <c r="B42" s="57"/>
      <c r="C42" s="57"/>
      <c r="D42" s="57"/>
      <c r="E42" s="57"/>
      <c r="F42" s="57"/>
      <c r="G42" s="57"/>
      <c r="H42" s="57"/>
      <c r="I42" s="57"/>
      <c r="J42" s="2"/>
      <c r="K42" s="47"/>
      <c r="L42" s="47"/>
      <c r="M42" s="47"/>
      <c r="N42" s="47"/>
      <c r="O42" s="47"/>
      <c r="P42" s="2"/>
    </row>
    <row r="43" spans="1:16" ht="18.95" customHeight="1">
      <c r="A43" s="2"/>
      <c r="B43" s="35"/>
      <c r="C43" s="35"/>
      <c r="D43" s="35"/>
      <c r="E43" s="35"/>
      <c r="F43" s="35"/>
      <c r="G43" s="35"/>
      <c r="H43" s="35"/>
      <c r="I43" s="35"/>
      <c r="J43" s="2"/>
      <c r="K43" s="47"/>
      <c r="L43" s="47"/>
      <c r="M43" s="47"/>
      <c r="N43" s="47"/>
      <c r="O43" s="47"/>
      <c r="P43" s="2"/>
    </row>
    <row r="44" spans="1:16" ht="18.95" customHeight="1">
      <c r="A44" s="2"/>
      <c r="B44" s="57" t="str">
        <f>IF(ISNUMBER('Profit target'!I15),IF('Profit target'!I15&gt;0,"Recorded profit is "&amp;TEXT('Profit target'!I15,"$#,##0")&amp;" below your target. Compare price, volume, and cost changes on Profit target. Action plan shows whether the saved scenario reaches the goal.","Your recorded profit meets the goal. Test a stretch goal or check upcoming collections and payments on Cash planner."),"Set a same-period goal on Profit target to see the gap and three ways to close it.")</f>
        <v>Recorded profit is $41,040 below your target. Compare price, volume, and cost changes on Profit target. Action plan shows whether the saved scenario reaches the goal.</v>
      </c>
      <c r="C44" s="57"/>
      <c r="D44" s="57"/>
      <c r="E44" s="57"/>
      <c r="F44" s="57"/>
      <c r="G44" s="57"/>
      <c r="H44" s="57"/>
      <c r="I44" s="57"/>
      <c r="J44" s="2"/>
      <c r="K44" s="2"/>
      <c r="L44" s="2"/>
      <c r="M44" s="2"/>
      <c r="N44" s="2"/>
      <c r="O44" s="2"/>
      <c r="P44" s="2"/>
    </row>
    <row r="45" spans="1:16" ht="18.95" customHeight="1">
      <c r="A45" s="2"/>
      <c r="B45" s="57"/>
      <c r="C45" s="57"/>
      <c r="D45" s="57"/>
      <c r="E45" s="57"/>
      <c r="F45" s="57"/>
      <c r="G45" s="57"/>
      <c r="H45" s="57"/>
      <c r="I45" s="57"/>
      <c r="J45" s="2"/>
      <c r="K45" s="2"/>
      <c r="L45" s="2"/>
      <c r="M45" s="2"/>
      <c r="N45" s="2"/>
      <c r="O45" s="2"/>
      <c r="P45" s="2"/>
    </row>
    <row r="46" spans="1:16" ht="18.95" customHeight="1">
      <c r="A46" s="2"/>
      <c r="B46" s="57"/>
      <c r="C46" s="57"/>
      <c r="D46" s="57"/>
      <c r="E46" s="57"/>
      <c r="F46" s="57"/>
      <c r="G46" s="57"/>
      <c r="H46" s="57"/>
      <c r="I46" s="57"/>
      <c r="J46" s="2"/>
      <c r="K46" s="2"/>
      <c r="L46" s="2"/>
      <c r="M46" s="2"/>
      <c r="N46" s="2"/>
      <c r="O46" s="2"/>
      <c r="P46" s="2"/>
    </row>
    <row r="47" spans="1:16" ht="18.95" customHeight="1">
      <c r="A47" s="2"/>
      <c r="B47" s="57"/>
      <c r="C47" s="57"/>
      <c r="D47" s="57"/>
      <c r="E47" s="57"/>
      <c r="F47" s="57"/>
      <c r="G47" s="57"/>
      <c r="H47" s="57"/>
      <c r="I47" s="57"/>
      <c r="J47" s="2"/>
      <c r="K47" s="36"/>
      <c r="L47" s="36"/>
      <c r="M47" s="36"/>
      <c r="N47" s="36"/>
      <c r="O47" s="36"/>
      <c r="P47" s="2"/>
    </row>
    <row r="48" spans="1:16" ht="18.9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ht="18.95" customHeight="1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2"/>
    </row>
    <row r="50" spans="1:16" ht="18.95" customHeight="1">
      <c r="A50" s="2"/>
      <c r="B50" s="58" t="s">
        <v>17</v>
      </c>
      <c r="C50" s="58" t="s">
        <v>17</v>
      </c>
      <c r="D50" s="58" t="s">
        <v>17</v>
      </c>
      <c r="E50" s="58" t="s">
        <v>17</v>
      </c>
      <c r="F50" s="58" t="s">
        <v>17</v>
      </c>
      <c r="G50" s="58" t="s">
        <v>17</v>
      </c>
      <c r="H50" s="58" t="s">
        <v>17</v>
      </c>
      <c r="I50" s="3"/>
      <c r="J50" s="58" t="s">
        <v>18</v>
      </c>
      <c r="K50" s="58" t="s">
        <v>18</v>
      </c>
      <c r="L50" s="58" t="s">
        <v>18</v>
      </c>
      <c r="M50" s="58" t="s">
        <v>18</v>
      </c>
      <c r="N50" s="58" t="s">
        <v>18</v>
      </c>
      <c r="O50" s="58" t="s">
        <v>18</v>
      </c>
      <c r="P50" s="2"/>
    </row>
    <row r="51" spans="1:16" ht="18.9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 ht="18.95" customHeight="1">
      <c r="A52" s="1"/>
      <c r="B52" s="59" t="s">
        <v>19</v>
      </c>
      <c r="C52" s="59" t="s">
        <v>19</v>
      </c>
      <c r="D52" s="59" t="s">
        <v>19</v>
      </c>
      <c r="E52" s="59" t="s">
        <v>19</v>
      </c>
      <c r="F52" s="59" t="s">
        <v>19</v>
      </c>
      <c r="G52" s="59" t="s">
        <v>19</v>
      </c>
      <c r="H52" s="59" t="s">
        <v>19</v>
      </c>
      <c r="I52" s="1"/>
      <c r="J52" s="59" t="s">
        <v>20</v>
      </c>
      <c r="K52" s="59" t="s">
        <v>20</v>
      </c>
      <c r="L52" s="59" t="s">
        <v>20</v>
      </c>
      <c r="M52" s="59" t="s">
        <v>20</v>
      </c>
      <c r="N52" s="59" t="s">
        <v>20</v>
      </c>
      <c r="O52" s="59" t="s">
        <v>20</v>
      </c>
      <c r="P52" s="1"/>
    </row>
    <row r="53" spans="1:16" ht="18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18.95" customHeight="1">
      <c r="A54" s="1"/>
      <c r="B54" s="60" t="s">
        <v>21</v>
      </c>
      <c r="C54" s="60" t="s">
        <v>21</v>
      </c>
      <c r="D54" s="60" t="s">
        <v>21</v>
      </c>
      <c r="E54" s="60" t="s">
        <v>21</v>
      </c>
      <c r="F54" s="60" t="s">
        <v>21</v>
      </c>
      <c r="G54" s="60" t="s">
        <v>21</v>
      </c>
      <c r="H54" s="60" t="s">
        <v>21</v>
      </c>
      <c r="I54" s="60" t="s">
        <v>21</v>
      </c>
      <c r="J54" s="60" t="s">
        <v>21</v>
      </c>
      <c r="K54" s="60" t="s">
        <v>21</v>
      </c>
      <c r="L54" s="60" t="s">
        <v>21</v>
      </c>
      <c r="M54" s="60" t="s">
        <v>21</v>
      </c>
      <c r="N54" s="60" t="s">
        <v>21</v>
      </c>
      <c r="O54" s="60" t="s">
        <v>21</v>
      </c>
      <c r="P54" s="1"/>
    </row>
    <row r="55" spans="1:16" ht="18.95" customHeight="1">
      <c r="A55" s="1"/>
      <c r="B55" s="60" t="s">
        <v>21</v>
      </c>
      <c r="C55" s="60" t="s">
        <v>21</v>
      </c>
      <c r="D55" s="60" t="s">
        <v>21</v>
      </c>
      <c r="E55" s="60" t="s">
        <v>21</v>
      </c>
      <c r="F55" s="60" t="s">
        <v>21</v>
      </c>
      <c r="G55" s="60" t="s">
        <v>21</v>
      </c>
      <c r="H55" s="60" t="s">
        <v>21</v>
      </c>
      <c r="I55" s="60" t="s">
        <v>21</v>
      </c>
      <c r="J55" s="60" t="s">
        <v>21</v>
      </c>
      <c r="K55" s="60" t="s">
        <v>21</v>
      </c>
      <c r="L55" s="60" t="s">
        <v>21</v>
      </c>
      <c r="M55" s="60" t="s">
        <v>21</v>
      </c>
      <c r="N55" s="60" t="s">
        <v>21</v>
      </c>
      <c r="O55" s="60" t="s">
        <v>21</v>
      </c>
      <c r="P55" s="1"/>
    </row>
    <row r="56" spans="1:16" ht="18.95" customHeight="1">
      <c r="A56" s="1"/>
      <c r="B56" s="60" t="s">
        <v>21</v>
      </c>
      <c r="C56" s="60" t="s">
        <v>21</v>
      </c>
      <c r="D56" s="60" t="s">
        <v>21</v>
      </c>
      <c r="E56" s="60" t="s">
        <v>21</v>
      </c>
      <c r="F56" s="60" t="s">
        <v>21</v>
      </c>
      <c r="G56" s="60" t="s">
        <v>21</v>
      </c>
      <c r="H56" s="60" t="s">
        <v>21</v>
      </c>
      <c r="I56" s="60" t="s">
        <v>21</v>
      </c>
      <c r="J56" s="60" t="s">
        <v>21</v>
      </c>
      <c r="K56" s="60" t="s">
        <v>21</v>
      </c>
      <c r="L56" s="60" t="s">
        <v>21</v>
      </c>
      <c r="M56" s="60" t="s">
        <v>21</v>
      </c>
      <c r="N56" s="60" t="s">
        <v>21</v>
      </c>
      <c r="O56" s="60" t="s">
        <v>21</v>
      </c>
      <c r="P56" s="1"/>
    </row>
    <row r="57" spans="1:16" ht="18.9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</sheetData>
  <sheetProtection sheet="1" objects="1" scenarios="1"/>
  <mergeCells count="35">
    <mergeCell ref="B54:O56"/>
    <mergeCell ref="B44:I47"/>
    <mergeCell ref="B50:H50"/>
    <mergeCell ref="J50:O50"/>
    <mergeCell ref="B52:H52"/>
    <mergeCell ref="J52:O52"/>
    <mergeCell ref="K38:M38"/>
    <mergeCell ref="N38:O38"/>
    <mergeCell ref="B32:I32"/>
    <mergeCell ref="K40:O43"/>
    <mergeCell ref="B33:I33"/>
    <mergeCell ref="B34:I37"/>
    <mergeCell ref="B39:I42"/>
    <mergeCell ref="K35:M35"/>
    <mergeCell ref="N35:O35"/>
    <mergeCell ref="K36:M36"/>
    <mergeCell ref="N36:O36"/>
    <mergeCell ref="K37:M37"/>
    <mergeCell ref="N37:O37"/>
    <mergeCell ref="B15:I15"/>
    <mergeCell ref="K15:O15"/>
    <mergeCell ref="K33:M33"/>
    <mergeCell ref="N33:O33"/>
    <mergeCell ref="K34:M34"/>
    <mergeCell ref="N34:O34"/>
    <mergeCell ref="B12:E13"/>
    <mergeCell ref="G11:J11"/>
    <mergeCell ref="G12:J13"/>
    <mergeCell ref="L11:O11"/>
    <mergeCell ref="L12:O13"/>
    <mergeCell ref="B2:O2"/>
    <mergeCell ref="B4:O5"/>
    <mergeCell ref="B6:O6"/>
    <mergeCell ref="B8:O9"/>
    <mergeCell ref="B11:E11"/>
  </mergeCells>
  <conditionalFormatting sqref="B12:E13">
    <cfRule type="cellIs" dxfId="7" priority="1" operator="lessThan">
      <formula>0</formula>
    </cfRule>
  </conditionalFormatting>
  <conditionalFormatting sqref="G12:J13">
    <cfRule type="cellIs" dxfId="6" priority="2" operator="lessThan">
      <formula>0</formula>
    </cfRule>
  </conditionalFormatting>
  <conditionalFormatting sqref="L12:O13">
    <cfRule type="cellIs" dxfId="5" priority="3" operator="lessThan">
      <formula>0</formula>
    </cfRule>
  </conditionalFormatting>
  <hyperlinks>
    <hyperlink ref="B34" location="'What-if planner'!E11" display="'What-if planner'!E11" xr:uid="{00000000-0004-0000-0000-000000000000}"/>
    <hyperlink ref="B39" location="'Monthly financials'!B56" display="'Monthly financials'!B56" xr:uid="{00000000-0004-0000-0000-000001000000}"/>
    <hyperlink ref="B44" location="'Profit target'!E8" display="'Profit target'!E8" xr:uid="{00000000-0004-0000-0000-000002000000}"/>
    <hyperlink ref="B50" location="'Monthly financials'!C8" display="Start or update your monthly figures" xr:uid="{00000000-0004-0000-0000-000003000000}"/>
    <hyperlink ref="J50" location="'Profit target'!E8" display="Set your profit target" xr:uid="{00000000-0004-0000-0000-000004000000}"/>
    <hyperlink ref="B52" location="'Action plan'!E22" display="Make your action plan" xr:uid="{00000000-0004-0000-0000-000005000000}"/>
    <hyperlink ref="J52" location="'Cash planner'!E8" display="Plan upcoming cash" xr:uid="{00000000-0004-0000-0000-000006000000}"/>
  </hyperlinks>
  <pageMargins left="0.7" right="0.7" top="0.75" bottom="0.75" header="0.3" footer="0.3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89296"/>
    <pageSetUpPr fitToPage="1"/>
  </sheetPr>
  <dimension ref="A1:P43"/>
  <sheetViews>
    <sheetView showGridLines="0" zoomScale="85" workbookViewId="0"/>
  </sheetViews>
  <sheetFormatPr defaultRowHeight="14.25"/>
  <cols>
    <col min="1" max="1" width="3" customWidth="1"/>
    <col min="2" max="16" width="9" customWidth="1"/>
  </cols>
  <sheetData>
    <row r="1" spans="1:16" ht="21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1.95" customHeight="1">
      <c r="A2" s="2"/>
      <c r="B2" s="44" t="s">
        <v>2</v>
      </c>
      <c r="C2" s="44" t="s">
        <v>2</v>
      </c>
      <c r="D2" s="44" t="s">
        <v>2</v>
      </c>
      <c r="E2" s="44" t="s">
        <v>2</v>
      </c>
      <c r="F2" s="44" t="s">
        <v>2</v>
      </c>
      <c r="G2" s="44" t="s">
        <v>2</v>
      </c>
      <c r="H2" s="44" t="s">
        <v>2</v>
      </c>
      <c r="I2" s="44" t="s">
        <v>2</v>
      </c>
      <c r="J2" s="44" t="s">
        <v>2</v>
      </c>
      <c r="K2" s="44" t="s">
        <v>2</v>
      </c>
      <c r="L2" s="44" t="s">
        <v>2</v>
      </c>
      <c r="M2" s="44" t="s">
        <v>2</v>
      </c>
      <c r="N2" s="44" t="s">
        <v>2</v>
      </c>
      <c r="O2" s="44" t="s">
        <v>2</v>
      </c>
      <c r="P2" s="2"/>
    </row>
    <row r="3" spans="1:16" ht="21.9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21.95" customHeight="1">
      <c r="A4" s="2"/>
      <c r="B4" s="45" t="s">
        <v>22</v>
      </c>
      <c r="C4" s="45" t="s">
        <v>22</v>
      </c>
      <c r="D4" s="45" t="s">
        <v>22</v>
      </c>
      <c r="E4" s="45" t="s">
        <v>22</v>
      </c>
      <c r="F4" s="45" t="s">
        <v>22</v>
      </c>
      <c r="G4" s="45" t="s">
        <v>22</v>
      </c>
      <c r="H4" s="45" t="s">
        <v>22</v>
      </c>
      <c r="I4" s="45" t="s">
        <v>22</v>
      </c>
      <c r="J4" s="45" t="s">
        <v>22</v>
      </c>
      <c r="K4" s="45" t="s">
        <v>22</v>
      </c>
      <c r="L4" s="45" t="s">
        <v>22</v>
      </c>
      <c r="M4" s="45" t="s">
        <v>22</v>
      </c>
      <c r="N4" s="45" t="s">
        <v>22</v>
      </c>
      <c r="O4" s="45" t="s">
        <v>22</v>
      </c>
      <c r="P4" s="2"/>
    </row>
    <row r="5" spans="1:16" ht="21.95" customHeight="1">
      <c r="A5" s="2"/>
      <c r="B5" s="45" t="s">
        <v>22</v>
      </c>
      <c r="C5" s="45" t="s">
        <v>22</v>
      </c>
      <c r="D5" s="45" t="s">
        <v>22</v>
      </c>
      <c r="E5" s="45" t="s">
        <v>22</v>
      </c>
      <c r="F5" s="45" t="s">
        <v>22</v>
      </c>
      <c r="G5" s="45" t="s">
        <v>22</v>
      </c>
      <c r="H5" s="45" t="s">
        <v>22</v>
      </c>
      <c r="I5" s="45" t="s">
        <v>22</v>
      </c>
      <c r="J5" s="45" t="s">
        <v>22</v>
      </c>
      <c r="K5" s="45" t="s">
        <v>22</v>
      </c>
      <c r="L5" s="45" t="s">
        <v>22</v>
      </c>
      <c r="M5" s="45" t="s">
        <v>22</v>
      </c>
      <c r="N5" s="45" t="s">
        <v>22</v>
      </c>
      <c r="O5" s="45" t="s">
        <v>22</v>
      </c>
      <c r="P5" s="2"/>
    </row>
    <row r="6" spans="1:16" ht="21.95" customHeight="1">
      <c r="A6" s="2"/>
      <c r="B6" s="46" t="s">
        <v>4</v>
      </c>
      <c r="C6" s="46" t="s">
        <v>4</v>
      </c>
      <c r="D6" s="46" t="s">
        <v>4</v>
      </c>
      <c r="E6" s="46" t="s">
        <v>4</v>
      </c>
      <c r="F6" s="46" t="s">
        <v>4</v>
      </c>
      <c r="G6" s="46" t="s">
        <v>4</v>
      </c>
      <c r="H6" s="46" t="s">
        <v>4</v>
      </c>
      <c r="I6" s="46" t="s">
        <v>4</v>
      </c>
      <c r="J6" s="46" t="s">
        <v>4</v>
      </c>
      <c r="K6" s="46" t="s">
        <v>4</v>
      </c>
      <c r="L6" s="46" t="s">
        <v>4</v>
      </c>
      <c r="M6" s="46" t="s">
        <v>4</v>
      </c>
      <c r="N6" s="46" t="s">
        <v>4</v>
      </c>
      <c r="O6" s="46" t="s">
        <v>4</v>
      </c>
      <c r="P6" s="2"/>
    </row>
    <row r="7" spans="1:16" ht="21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26.1" customHeight="1">
      <c r="A8" s="2"/>
      <c r="B8" s="61" t="s">
        <v>23</v>
      </c>
      <c r="C8" s="61" t="s">
        <v>23</v>
      </c>
      <c r="D8" s="61" t="s">
        <v>23</v>
      </c>
      <c r="E8" s="62">
        <v>180000</v>
      </c>
      <c r="F8" s="62" t="s">
        <v>24</v>
      </c>
      <c r="G8" s="62" t="s">
        <v>24</v>
      </c>
      <c r="H8" s="2"/>
      <c r="I8" s="47" t="s">
        <v>25</v>
      </c>
      <c r="J8" s="47" t="s">
        <v>25</v>
      </c>
      <c r="K8" s="47" t="s">
        <v>25</v>
      </c>
      <c r="L8" s="47" t="s">
        <v>25</v>
      </c>
      <c r="M8" s="47" t="s">
        <v>25</v>
      </c>
      <c r="N8" s="47" t="s">
        <v>25</v>
      </c>
      <c r="O8" s="47" t="s">
        <v>25</v>
      </c>
      <c r="P8" s="2"/>
    </row>
    <row r="9" spans="1:16" ht="26.1" customHeight="1">
      <c r="A9" s="2"/>
      <c r="B9" s="2"/>
      <c r="C9" s="2"/>
      <c r="D9" s="2"/>
      <c r="E9" s="2"/>
      <c r="F9" s="2"/>
      <c r="G9" s="2"/>
      <c r="H9" s="2"/>
      <c r="I9" s="47" t="s">
        <v>25</v>
      </c>
      <c r="J9" s="47" t="s">
        <v>25</v>
      </c>
      <c r="K9" s="47" t="s">
        <v>25</v>
      </c>
      <c r="L9" s="47" t="s">
        <v>25</v>
      </c>
      <c r="M9" s="47" t="s">
        <v>25</v>
      </c>
      <c r="N9" s="47" t="s">
        <v>25</v>
      </c>
      <c r="O9" s="47" t="s">
        <v>25</v>
      </c>
      <c r="P9" s="2"/>
    </row>
    <row r="10" spans="1:16" ht="21.95" customHeight="1">
      <c r="A10" s="2"/>
      <c r="B10" s="47" t="str">
        <f>IF(AND(ISNUMBER('Monthly financials'!G8),'Monthly financials'!G8&gt;0,'Monthly financials'!P45='Monthly financials'!G8,ISNUMBER('Monthly financials'!P43)),"Recorded period: "&amp;TEXT('Monthly financials'!C8,"mmm yyyy")&amp;" to "&amp;TEXT(DATE(YEAR('Monthly financials'!C8),MONTH('Monthly financials'!C8)+'Monthly financials'!G8-1,1),"mmm yyyy")&amp;". "&amp;'Monthly financials'!G8&amp;" months included.","")</f>
        <v>Recorded period: Jan 2026 to Dec 2026. 12 months included.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2"/>
    </row>
    <row r="11" spans="1:16" ht="21.95" customHeight="1">
      <c r="A11" s="2"/>
      <c r="B11" s="47" t="str">
        <f>IF(AND(ISNUMBER('Monthly financials'!G8),'Monthly financials'!G8&gt;0,'Monthly financials'!P45='Monthly financials'!G8,ISNUMBER('Monthly financials'!P43)),IF(ISNUMBER(E8),IF(E8&lt;='Monthly financials'!P43,"Your recorded profit already meets this target. Required improvements below are zero.","Choose one lever below or combine changes on What-if planner. Each illustration closes the same gap independently."),"Enter your profit target in the blue input above."),"First complete at least one month on Monthly financials, including every category.")</f>
        <v>Choose one lever below or combine changes on What-if planner. Each illustration closes the same gap independently.</v>
      </c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2"/>
    </row>
    <row r="12" spans="1:16" ht="21.95" customHeight="1">
      <c r="A12" s="2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2"/>
    </row>
    <row r="13" spans="1:16" ht="21.9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21.95" customHeight="1">
      <c r="A14" s="2"/>
      <c r="B14" s="47" t="s">
        <v>26</v>
      </c>
      <c r="C14" s="47" t="s">
        <v>26</v>
      </c>
      <c r="D14" s="47" t="s">
        <v>26</v>
      </c>
      <c r="E14" s="47" t="s">
        <v>26</v>
      </c>
      <c r="F14" s="47" t="s">
        <v>26</v>
      </c>
      <c r="G14" s="47" t="s">
        <v>26</v>
      </c>
      <c r="H14" s="2"/>
      <c r="I14" s="47" t="s">
        <v>27</v>
      </c>
      <c r="J14" s="47" t="s">
        <v>27</v>
      </c>
      <c r="K14" s="47" t="s">
        <v>27</v>
      </c>
      <c r="L14" s="47" t="s">
        <v>27</v>
      </c>
      <c r="M14" s="47" t="s">
        <v>27</v>
      </c>
      <c r="N14" s="47" t="s">
        <v>27</v>
      </c>
      <c r="O14" s="47" t="s">
        <v>27</v>
      </c>
      <c r="P14" s="2"/>
    </row>
    <row r="15" spans="1:16" ht="21.95" customHeight="1">
      <c r="A15" s="2"/>
      <c r="B15" s="63">
        <f>IF(AND(ISNUMBER('Monthly financials'!G8),'Monthly financials'!G8&gt;0,'Monthly financials'!P45='Monthly financials'!G8,ISNUMBER('Monthly financials'!P43)),'Monthly financials'!P43,"n.a.")</f>
        <v>138960</v>
      </c>
      <c r="C15" s="45"/>
      <c r="D15" s="45"/>
      <c r="E15" s="45"/>
      <c r="F15" s="45"/>
      <c r="G15" s="45"/>
      <c r="H15" s="2"/>
      <c r="I15" s="63">
        <f>IF(AND(AND(ISNUMBER('Monthly financials'!G8),'Monthly financials'!G8&gt;0,'Monthly financials'!P45='Monthly financials'!G8,ISNUMBER('Monthly financials'!P43)),ISNUMBER(E8)),MAX(0,E8-B15),"n.a.")</f>
        <v>41040</v>
      </c>
      <c r="J15" s="45"/>
      <c r="K15" s="45"/>
      <c r="L15" s="45"/>
      <c r="M15" s="45"/>
      <c r="N15" s="45"/>
      <c r="O15" s="45"/>
      <c r="P15" s="2"/>
    </row>
    <row r="16" spans="1:16" ht="21.95" customHeight="1">
      <c r="A16" s="2"/>
      <c r="B16" s="45"/>
      <c r="C16" s="45"/>
      <c r="D16" s="45"/>
      <c r="E16" s="45"/>
      <c r="F16" s="45"/>
      <c r="G16" s="45"/>
      <c r="H16" s="2"/>
      <c r="I16" s="45"/>
      <c r="J16" s="45"/>
      <c r="K16" s="45"/>
      <c r="L16" s="45"/>
      <c r="M16" s="45"/>
      <c r="N16" s="45"/>
      <c r="O16" s="45"/>
      <c r="P16" s="2"/>
    </row>
    <row r="17" spans="1:16" ht="21.9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21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30.95" customHeight="1">
      <c r="A19" s="2"/>
      <c r="B19" s="53" t="s">
        <v>28</v>
      </c>
      <c r="C19" s="53" t="s">
        <v>28</v>
      </c>
      <c r="D19" s="53" t="s">
        <v>28</v>
      </c>
      <c r="E19" s="53" t="s">
        <v>28</v>
      </c>
      <c r="F19" s="2"/>
      <c r="G19" s="53" t="s">
        <v>29</v>
      </c>
      <c r="H19" s="53" t="s">
        <v>29</v>
      </c>
      <c r="I19" s="53" t="s">
        <v>29</v>
      </c>
      <c r="J19" s="2"/>
      <c r="K19" s="53" t="s">
        <v>30</v>
      </c>
      <c r="L19" s="53" t="s">
        <v>30</v>
      </c>
      <c r="M19" s="53" t="s">
        <v>30</v>
      </c>
      <c r="N19" s="53" t="s">
        <v>30</v>
      </c>
      <c r="O19" s="53" t="s">
        <v>30</v>
      </c>
      <c r="P19" s="2"/>
    </row>
    <row r="20" spans="1:16" ht="21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ht="21.95" customHeight="1">
      <c r="A21" s="2"/>
      <c r="B21" s="52" t="s">
        <v>31</v>
      </c>
      <c r="C21" s="52" t="s">
        <v>31</v>
      </c>
      <c r="D21" s="52" t="s">
        <v>31</v>
      </c>
      <c r="E21" s="52" t="s">
        <v>31</v>
      </c>
      <c r="F21" s="2"/>
      <c r="G21" s="64">
        <f>IF(AND(ISNUMBER($I$15),AND(ISNUMBER('Monthly financials'!G8),'Monthly financials'!G8&gt;0,'Monthly financials'!P45='Monthly financials'!G8,ISNUMBER('Monthly financials'!P43))),IF($I$15=0,0,IF('Monthly financials'!P15&gt;0,$I$15/'Monthly financials'!P15,"n.a.")),"n.a.")</f>
        <v>5.6296296296296296E-2</v>
      </c>
      <c r="H21" s="65"/>
      <c r="I21" s="65"/>
      <c r="J21" s="2"/>
      <c r="K21" s="47" t="s">
        <v>32</v>
      </c>
      <c r="L21" s="47" t="s">
        <v>32</v>
      </c>
      <c r="M21" s="47" t="s">
        <v>32</v>
      </c>
      <c r="N21" s="47" t="s">
        <v>32</v>
      </c>
      <c r="O21" s="47" t="s">
        <v>32</v>
      </c>
      <c r="P21" s="2"/>
    </row>
    <row r="22" spans="1:16" ht="21.95" customHeight="1">
      <c r="A22" s="2"/>
      <c r="B22" s="52" t="s">
        <v>31</v>
      </c>
      <c r="C22" s="52" t="s">
        <v>31</v>
      </c>
      <c r="D22" s="52" t="s">
        <v>31</v>
      </c>
      <c r="E22" s="52" t="s">
        <v>31</v>
      </c>
      <c r="F22" s="2"/>
      <c r="G22" s="65"/>
      <c r="H22" s="65"/>
      <c r="I22" s="65"/>
      <c r="J22" s="2"/>
      <c r="K22" s="47" t="s">
        <v>32</v>
      </c>
      <c r="L22" s="47" t="s">
        <v>32</v>
      </c>
      <c r="M22" s="47" t="s">
        <v>32</v>
      </c>
      <c r="N22" s="47" t="s">
        <v>32</v>
      </c>
      <c r="O22" s="47" t="s">
        <v>32</v>
      </c>
      <c r="P22" s="2"/>
    </row>
    <row r="23" spans="1:16" ht="21.9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47" t="s">
        <v>32</v>
      </c>
      <c r="L23" s="47" t="s">
        <v>32</v>
      </c>
      <c r="M23" s="47" t="s">
        <v>32</v>
      </c>
      <c r="N23" s="47" t="s">
        <v>32</v>
      </c>
      <c r="O23" s="47" t="s">
        <v>32</v>
      </c>
      <c r="P23" s="2"/>
    </row>
    <row r="24" spans="1:16" ht="21.9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47" t="s">
        <v>32</v>
      </c>
      <c r="L24" s="47" t="s">
        <v>32</v>
      </c>
      <c r="M24" s="47" t="s">
        <v>32</v>
      </c>
      <c r="N24" s="47" t="s">
        <v>32</v>
      </c>
      <c r="O24" s="47" t="s">
        <v>32</v>
      </c>
      <c r="P24" s="2"/>
    </row>
    <row r="25" spans="1:16" ht="21.9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21.95" customHeight="1">
      <c r="A26" s="2"/>
      <c r="B26" s="52" t="s">
        <v>33</v>
      </c>
      <c r="C26" s="52" t="s">
        <v>33</v>
      </c>
      <c r="D26" s="52" t="s">
        <v>33</v>
      </c>
      <c r="E26" s="52" t="s">
        <v>33</v>
      </c>
      <c r="F26" s="2"/>
      <c r="G26" s="64">
        <f>IF(AND(ISNUMBER($I$15),AND(ISNUMBER('Monthly financials'!G8),'Monthly financials'!G8&gt;0,'Monthly financials'!P45='Monthly financials'!G8,ISNUMBER('Monthly financials'!P43))),IF($I$15=0,0,IF('Monthly financials'!P15-'Monthly financials'!P22&gt;0,$I$15/('Monthly financials'!P15-'Monthly financials'!P22),"n.a.")),"n.a.")</f>
        <v>0.10573231997938941</v>
      </c>
      <c r="H26" s="65"/>
      <c r="I26" s="65"/>
      <c r="J26" s="2"/>
      <c r="K26" s="47" t="s">
        <v>34</v>
      </c>
      <c r="L26" s="47" t="s">
        <v>34</v>
      </c>
      <c r="M26" s="47" t="s">
        <v>34</v>
      </c>
      <c r="N26" s="47" t="s">
        <v>34</v>
      </c>
      <c r="O26" s="47" t="s">
        <v>34</v>
      </c>
      <c r="P26" s="2"/>
    </row>
    <row r="27" spans="1:16" ht="21.95" customHeight="1">
      <c r="A27" s="2"/>
      <c r="B27" s="52" t="s">
        <v>33</v>
      </c>
      <c r="C27" s="52" t="s">
        <v>33</v>
      </c>
      <c r="D27" s="52" t="s">
        <v>33</v>
      </c>
      <c r="E27" s="52" t="s">
        <v>33</v>
      </c>
      <c r="F27" s="2"/>
      <c r="G27" s="65"/>
      <c r="H27" s="65"/>
      <c r="I27" s="65"/>
      <c r="J27" s="2"/>
      <c r="K27" s="47" t="s">
        <v>34</v>
      </c>
      <c r="L27" s="47" t="s">
        <v>34</v>
      </c>
      <c r="M27" s="47" t="s">
        <v>34</v>
      </c>
      <c r="N27" s="47" t="s">
        <v>34</v>
      </c>
      <c r="O27" s="47" t="s">
        <v>34</v>
      </c>
      <c r="P27" s="2"/>
    </row>
    <row r="28" spans="1:16" ht="21.95" customHeight="1">
      <c r="A28" s="2"/>
      <c r="B28" s="47" t="str">
        <f>IF(NOT(ISNUMBER($I$15)),"Complete the recorded figures and enter a same-period goal first.",IF(ISNUMBER(G26),TEXT(G26*'Monthly financials'!P15,"$#,##0")&amp;" in additional sales at unchanged prices.","Needs positive sales less direct costs. Review pricing and unit costs first."))</f>
        <v>$77,079 in additional sales at unchanged prices.</v>
      </c>
      <c r="C28" s="47"/>
      <c r="D28" s="47"/>
      <c r="E28" s="47"/>
      <c r="F28" s="47"/>
      <c r="G28" s="47"/>
      <c r="H28" s="47"/>
      <c r="I28" s="47"/>
      <c r="J28" s="2"/>
      <c r="K28" s="47" t="s">
        <v>34</v>
      </c>
      <c r="L28" s="47" t="s">
        <v>34</v>
      </c>
      <c r="M28" s="47" t="s">
        <v>34</v>
      </c>
      <c r="N28" s="47" t="s">
        <v>34</v>
      </c>
      <c r="O28" s="47" t="s">
        <v>34</v>
      </c>
      <c r="P28" s="2"/>
    </row>
    <row r="29" spans="1:16" ht="21.95" customHeight="1">
      <c r="A29" s="2"/>
      <c r="B29" s="47"/>
      <c r="C29" s="47"/>
      <c r="D29" s="47"/>
      <c r="E29" s="47"/>
      <c r="F29" s="47"/>
      <c r="G29" s="47"/>
      <c r="H29" s="47"/>
      <c r="I29" s="47"/>
      <c r="J29" s="2"/>
      <c r="K29" s="47" t="s">
        <v>34</v>
      </c>
      <c r="L29" s="47" t="s">
        <v>34</v>
      </c>
      <c r="M29" s="47" t="s">
        <v>34</v>
      </c>
      <c r="N29" s="47" t="s">
        <v>34</v>
      </c>
      <c r="O29" s="47" t="s">
        <v>34</v>
      </c>
      <c r="P29" s="2"/>
    </row>
    <row r="30" spans="1:16" ht="21.9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47" t="s">
        <v>34</v>
      </c>
      <c r="L30" s="47" t="s">
        <v>34</v>
      </c>
      <c r="M30" s="47" t="s">
        <v>34</v>
      </c>
      <c r="N30" s="47" t="s">
        <v>34</v>
      </c>
      <c r="O30" s="47" t="s">
        <v>34</v>
      </c>
      <c r="P30" s="2"/>
    </row>
    <row r="31" spans="1:16" ht="21.9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ht="21.95" customHeight="1">
      <c r="A32" s="2"/>
      <c r="B32" s="52" t="s">
        <v>35</v>
      </c>
      <c r="C32" s="52" t="s">
        <v>35</v>
      </c>
      <c r="D32" s="52" t="s">
        <v>35</v>
      </c>
      <c r="E32" s="52" t="s">
        <v>35</v>
      </c>
      <c r="F32" s="2"/>
      <c r="G32" s="64">
        <f>IF(AND(ISNUMBER($I$15),AND(ISNUMBER('Monthly financials'!G8),'Monthly financials'!G8&gt;0,'Monthly financials'!P45='Monthly financials'!G8,ISNUMBER('Monthly financials'!P43))),IF($I$15=0,0,IF('Monthly financials'!P38-'Monthly financials'!P36&gt;0,$I$15/('Monthly financials'!P38-'Monthly financials'!P36),"n.a.")),"n.a.")</f>
        <v>0.17112121085769086</v>
      </c>
      <c r="H32" s="65"/>
      <c r="I32" s="65"/>
      <c r="J32" s="2"/>
      <c r="K32" s="47" t="s">
        <v>36</v>
      </c>
      <c r="L32" s="47" t="s">
        <v>36</v>
      </c>
      <c r="M32" s="47" t="s">
        <v>36</v>
      </c>
      <c r="N32" s="47" t="s">
        <v>36</v>
      </c>
      <c r="O32" s="47" t="s">
        <v>36</v>
      </c>
      <c r="P32" s="2"/>
    </row>
    <row r="33" spans="1:16" ht="21.95" customHeight="1">
      <c r="A33" s="2"/>
      <c r="B33" s="52" t="s">
        <v>35</v>
      </c>
      <c r="C33" s="52" t="s">
        <v>35</v>
      </c>
      <c r="D33" s="52" t="s">
        <v>35</v>
      </c>
      <c r="E33" s="52" t="s">
        <v>35</v>
      </c>
      <c r="F33" s="2"/>
      <c r="G33" s="65"/>
      <c r="H33" s="65"/>
      <c r="I33" s="65"/>
      <c r="J33" s="2"/>
      <c r="K33" s="47" t="s">
        <v>36</v>
      </c>
      <c r="L33" s="47" t="s">
        <v>36</v>
      </c>
      <c r="M33" s="47" t="s">
        <v>36</v>
      </c>
      <c r="N33" s="47" t="s">
        <v>36</v>
      </c>
      <c r="O33" s="47" t="s">
        <v>36</v>
      </c>
      <c r="P33" s="2"/>
    </row>
    <row r="34" spans="1:16" ht="21.95" customHeight="1">
      <c r="A34" s="2"/>
      <c r="B34" s="47" t="str">
        <f>IF(NOT(ISNUMBER($I$15)),"Complete the recorded figures and enter a same-period goal first.",IF(ISNUMBER(G32),IF(G32&gt;1,"This exceeds all modeled operating costs excluding depreciation. Combine levers or revise the goal.",TEXT($I$15,"$#,##0")&amp;" in lower operating expenses, excluding depreciation."),"Needs operating costs beyond depreciation. Use another lever."))</f>
        <v>$41,040 in lower operating expenses, excluding depreciation.</v>
      </c>
      <c r="C34" s="47"/>
      <c r="D34" s="47"/>
      <c r="E34" s="47"/>
      <c r="F34" s="47"/>
      <c r="G34" s="47"/>
      <c r="H34" s="47"/>
      <c r="I34" s="47"/>
      <c r="J34" s="2"/>
      <c r="K34" s="47" t="s">
        <v>36</v>
      </c>
      <c r="L34" s="47" t="s">
        <v>36</v>
      </c>
      <c r="M34" s="47" t="s">
        <v>36</v>
      </c>
      <c r="N34" s="47" t="s">
        <v>36</v>
      </c>
      <c r="O34" s="47" t="s">
        <v>36</v>
      </c>
      <c r="P34" s="2"/>
    </row>
    <row r="35" spans="1:16" ht="21.95" customHeight="1">
      <c r="A35" s="2"/>
      <c r="B35" s="47"/>
      <c r="C35" s="47"/>
      <c r="D35" s="47"/>
      <c r="E35" s="47"/>
      <c r="F35" s="47"/>
      <c r="G35" s="47"/>
      <c r="H35" s="47"/>
      <c r="I35" s="47"/>
      <c r="J35" s="2"/>
      <c r="K35" s="47" t="s">
        <v>36</v>
      </c>
      <c r="L35" s="47" t="s">
        <v>36</v>
      </c>
      <c r="M35" s="47" t="s">
        <v>36</v>
      </c>
      <c r="N35" s="47" t="s">
        <v>36</v>
      </c>
      <c r="O35" s="47" t="s">
        <v>36</v>
      </c>
      <c r="P35" s="2"/>
    </row>
    <row r="36" spans="1:16" ht="21.9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47" t="s">
        <v>36</v>
      </c>
      <c r="L36" s="47" t="s">
        <v>36</v>
      </c>
      <c r="M36" s="47" t="s">
        <v>36</v>
      </c>
      <c r="N36" s="47" t="s">
        <v>36</v>
      </c>
      <c r="O36" s="47" t="s">
        <v>36</v>
      </c>
      <c r="P36" s="2"/>
    </row>
    <row r="37" spans="1:16" ht="21.9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ht="21.95" customHeight="1">
      <c r="A38" s="2"/>
      <c r="B38" s="47" t="s">
        <v>37</v>
      </c>
      <c r="C38" s="47" t="s">
        <v>37</v>
      </c>
      <c r="D38" s="47" t="s">
        <v>37</v>
      </c>
      <c r="E38" s="47" t="s">
        <v>37</v>
      </c>
      <c r="F38" s="47" t="s">
        <v>37</v>
      </c>
      <c r="G38" s="47" t="s">
        <v>37</v>
      </c>
      <c r="H38" s="47" t="s">
        <v>37</v>
      </c>
      <c r="I38" s="47" t="s">
        <v>37</v>
      </c>
      <c r="J38" s="47" t="s">
        <v>37</v>
      </c>
      <c r="K38" s="47" t="s">
        <v>37</v>
      </c>
      <c r="L38" s="47" t="s">
        <v>37</v>
      </c>
      <c r="M38" s="47" t="s">
        <v>37</v>
      </c>
      <c r="N38" s="47" t="s">
        <v>37</v>
      </c>
      <c r="O38" s="47" t="s">
        <v>37</v>
      </c>
      <c r="P38" s="2"/>
    </row>
    <row r="39" spans="1:16" ht="21.95" customHeight="1">
      <c r="A39" s="2"/>
      <c r="B39" s="47" t="s">
        <v>37</v>
      </c>
      <c r="C39" s="47" t="s">
        <v>37</v>
      </c>
      <c r="D39" s="47" t="s">
        <v>37</v>
      </c>
      <c r="E39" s="47" t="s">
        <v>37</v>
      </c>
      <c r="F39" s="47" t="s">
        <v>37</v>
      </c>
      <c r="G39" s="47" t="s">
        <v>37</v>
      </c>
      <c r="H39" s="47" t="s">
        <v>37</v>
      </c>
      <c r="I39" s="47" t="s">
        <v>37</v>
      </c>
      <c r="J39" s="47" t="s">
        <v>37</v>
      </c>
      <c r="K39" s="47" t="s">
        <v>37</v>
      </c>
      <c r="L39" s="47" t="s">
        <v>37</v>
      </c>
      <c r="M39" s="47" t="s">
        <v>37</v>
      </c>
      <c r="N39" s="47" t="s">
        <v>37</v>
      </c>
      <c r="O39" s="47" t="s">
        <v>37</v>
      </c>
      <c r="P39" s="2"/>
    </row>
    <row r="40" spans="1:16" ht="21.95" customHeight="1">
      <c r="A40" s="2"/>
      <c r="B40" s="47" t="s">
        <v>37</v>
      </c>
      <c r="C40" s="47" t="s">
        <v>37</v>
      </c>
      <c r="D40" s="47" t="s">
        <v>37</v>
      </c>
      <c r="E40" s="47" t="s">
        <v>37</v>
      </c>
      <c r="F40" s="47" t="s">
        <v>37</v>
      </c>
      <c r="G40" s="47" t="s">
        <v>37</v>
      </c>
      <c r="H40" s="47" t="s">
        <v>37</v>
      </c>
      <c r="I40" s="47" t="s">
        <v>37</v>
      </c>
      <c r="J40" s="47" t="s">
        <v>37</v>
      </c>
      <c r="K40" s="47" t="s">
        <v>37</v>
      </c>
      <c r="L40" s="47" t="s">
        <v>37</v>
      </c>
      <c r="M40" s="47" t="s">
        <v>37</v>
      </c>
      <c r="N40" s="47" t="s">
        <v>37</v>
      </c>
      <c r="O40" s="47" t="s">
        <v>37</v>
      </c>
      <c r="P40" s="2"/>
    </row>
    <row r="41" spans="1:16" ht="21.9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ht="21.95" customHeight="1">
      <c r="A42" s="2"/>
      <c r="B42" s="58" t="s">
        <v>38</v>
      </c>
      <c r="C42" s="58" t="s">
        <v>38</v>
      </c>
      <c r="D42" s="58" t="s">
        <v>38</v>
      </c>
      <c r="E42" s="58" t="s">
        <v>38</v>
      </c>
      <c r="F42" s="58" t="s">
        <v>38</v>
      </c>
      <c r="G42" s="58" t="s">
        <v>38</v>
      </c>
      <c r="H42" s="58" t="s">
        <v>38</v>
      </c>
      <c r="I42" s="58" t="s">
        <v>38</v>
      </c>
      <c r="J42" s="58" t="s">
        <v>38</v>
      </c>
      <c r="K42" s="58" t="s">
        <v>38</v>
      </c>
      <c r="L42" s="58" t="s">
        <v>38</v>
      </c>
      <c r="M42" s="58" t="s">
        <v>38</v>
      </c>
      <c r="N42" s="58" t="s">
        <v>38</v>
      </c>
      <c r="O42" s="58" t="s">
        <v>38</v>
      </c>
      <c r="P42" s="2"/>
    </row>
    <row r="43" spans="1:16" ht="21.9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</sheetData>
  <sheetProtection sheet="1" objects="1" scenarios="1"/>
  <mergeCells count="28">
    <mergeCell ref="B34:I35"/>
    <mergeCell ref="K32:O36"/>
    <mergeCell ref="B38:O40"/>
    <mergeCell ref="B42:O42"/>
    <mergeCell ref="B26:E27"/>
    <mergeCell ref="G26:I27"/>
    <mergeCell ref="B28:I29"/>
    <mergeCell ref="K26:O30"/>
    <mergeCell ref="B32:E33"/>
    <mergeCell ref="G32:I33"/>
    <mergeCell ref="B19:E19"/>
    <mergeCell ref="G19:I19"/>
    <mergeCell ref="K19:O19"/>
    <mergeCell ref="B21:E22"/>
    <mergeCell ref="G21:I22"/>
    <mergeCell ref="K21:O24"/>
    <mergeCell ref="B10:O10"/>
    <mergeCell ref="B11:O12"/>
    <mergeCell ref="B14:G14"/>
    <mergeCell ref="I14:O14"/>
    <mergeCell ref="B15:G16"/>
    <mergeCell ref="I15:O16"/>
    <mergeCell ref="B2:O2"/>
    <mergeCell ref="B4:O5"/>
    <mergeCell ref="B6:O6"/>
    <mergeCell ref="B8:D8"/>
    <mergeCell ref="E8:G8"/>
    <mergeCell ref="I8:O9"/>
  </mergeCells>
  <dataValidations count="1">
    <dataValidation type="decimal" showErrorMessage="1" errorTitle="Check this input" error="Use a number within the permitted range. Enter 0 when the category does not apply." sqref="E8" xr:uid="{00000000-0002-0000-0100-000000000000}">
      <formula1>-1000000000000</formula1>
      <formula2>1000000000000</formula2>
    </dataValidation>
  </dataValidations>
  <hyperlinks>
    <hyperlink ref="B42" location="'What-if planner'!E11" display="Try a combination on What-if planner" xr:uid="{00000000-0004-0000-0100-000000000000}"/>
  </hyperlink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89296"/>
    <pageSetUpPr fitToPage="1"/>
  </sheetPr>
  <dimension ref="A1:P53"/>
  <sheetViews>
    <sheetView showGridLines="0" zoomScale="85" workbookViewId="0"/>
  </sheetViews>
  <sheetFormatPr defaultRowHeight="14.25"/>
  <cols>
    <col min="1" max="1" width="3" customWidth="1"/>
    <col min="2" max="2" width="21" customWidth="1"/>
    <col min="3" max="3" width="4" customWidth="1"/>
    <col min="4" max="4" width="4.75" customWidth="1"/>
    <col min="5" max="5" width="15.625" customWidth="1"/>
    <col min="6" max="7" width="9" customWidth="1"/>
    <col min="8" max="8" width="15.625" customWidth="1"/>
    <col min="9" max="10" width="9" customWidth="1"/>
    <col min="11" max="11" width="15.625" customWidth="1"/>
    <col min="12" max="16" width="9" customWidth="1"/>
  </cols>
  <sheetData>
    <row r="1" spans="1:16" ht="21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1.95" customHeight="1">
      <c r="A2" s="2"/>
      <c r="B2" s="44" t="s">
        <v>2</v>
      </c>
      <c r="C2" s="44" t="s">
        <v>2</v>
      </c>
      <c r="D2" s="44" t="s">
        <v>2</v>
      </c>
      <c r="E2" s="44" t="s">
        <v>2</v>
      </c>
      <c r="F2" s="44" t="s">
        <v>2</v>
      </c>
      <c r="G2" s="44" t="s">
        <v>2</v>
      </c>
      <c r="H2" s="44" t="s">
        <v>2</v>
      </c>
      <c r="I2" s="44" t="s">
        <v>2</v>
      </c>
      <c r="J2" s="44" t="s">
        <v>2</v>
      </c>
      <c r="K2" s="44" t="s">
        <v>2</v>
      </c>
      <c r="L2" s="44" t="s">
        <v>2</v>
      </c>
      <c r="M2" s="44" t="s">
        <v>2</v>
      </c>
      <c r="N2" s="44" t="s">
        <v>2</v>
      </c>
      <c r="O2" s="44" t="s">
        <v>2</v>
      </c>
      <c r="P2" s="2"/>
    </row>
    <row r="3" spans="1:16" ht="21.9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21.95" customHeight="1">
      <c r="A4" s="2"/>
      <c r="B4" s="45" t="s">
        <v>39</v>
      </c>
      <c r="C4" s="45" t="s">
        <v>39</v>
      </c>
      <c r="D4" s="45" t="s">
        <v>39</v>
      </c>
      <c r="E4" s="45" t="s">
        <v>39</v>
      </c>
      <c r="F4" s="45" t="s">
        <v>39</v>
      </c>
      <c r="G4" s="45" t="s">
        <v>39</v>
      </c>
      <c r="H4" s="45" t="s">
        <v>39</v>
      </c>
      <c r="I4" s="45" t="s">
        <v>39</v>
      </c>
      <c r="J4" s="45" t="s">
        <v>39</v>
      </c>
      <c r="K4" s="45" t="s">
        <v>39</v>
      </c>
      <c r="L4" s="45" t="s">
        <v>39</v>
      </c>
      <c r="M4" s="45" t="s">
        <v>39</v>
      </c>
      <c r="N4" s="45" t="s">
        <v>39</v>
      </c>
      <c r="O4" s="45" t="s">
        <v>39</v>
      </c>
      <c r="P4" s="2"/>
    </row>
    <row r="5" spans="1:16" ht="21.95" customHeight="1">
      <c r="A5" s="2"/>
      <c r="B5" s="45" t="s">
        <v>39</v>
      </c>
      <c r="C5" s="45" t="s">
        <v>39</v>
      </c>
      <c r="D5" s="45" t="s">
        <v>39</v>
      </c>
      <c r="E5" s="45" t="s">
        <v>39</v>
      </c>
      <c r="F5" s="45" t="s">
        <v>39</v>
      </c>
      <c r="G5" s="45" t="s">
        <v>39</v>
      </c>
      <c r="H5" s="45" t="s">
        <v>39</v>
      </c>
      <c r="I5" s="45" t="s">
        <v>39</v>
      </c>
      <c r="J5" s="45" t="s">
        <v>39</v>
      </c>
      <c r="K5" s="45" t="s">
        <v>39</v>
      </c>
      <c r="L5" s="45" t="s">
        <v>39</v>
      </c>
      <c r="M5" s="45" t="s">
        <v>39</v>
      </c>
      <c r="N5" s="45" t="s">
        <v>39</v>
      </c>
      <c r="O5" s="45" t="s">
        <v>39</v>
      </c>
      <c r="P5" s="2"/>
    </row>
    <row r="6" spans="1:16" ht="21.95" customHeight="1">
      <c r="A6" s="2"/>
      <c r="B6" s="46" t="s">
        <v>4</v>
      </c>
      <c r="C6" s="46" t="s">
        <v>4</v>
      </c>
      <c r="D6" s="46" t="s">
        <v>4</v>
      </c>
      <c r="E6" s="46" t="s">
        <v>4</v>
      </c>
      <c r="F6" s="46" t="s">
        <v>4</v>
      </c>
      <c r="G6" s="46" t="s">
        <v>4</v>
      </c>
      <c r="H6" s="46" t="s">
        <v>4</v>
      </c>
      <c r="I6" s="46" t="s">
        <v>4</v>
      </c>
      <c r="J6" s="46" t="s">
        <v>4</v>
      </c>
      <c r="K6" s="46" t="s">
        <v>4</v>
      </c>
      <c r="L6" s="46" t="s">
        <v>4</v>
      </c>
      <c r="M6" s="46" t="s">
        <v>4</v>
      </c>
      <c r="N6" s="46" t="s">
        <v>4</v>
      </c>
      <c r="O6" s="46" t="s">
        <v>4</v>
      </c>
      <c r="P6" s="2"/>
    </row>
    <row r="7" spans="1:16" ht="21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21.95" customHeight="1">
      <c r="A8" s="2"/>
      <c r="B8" s="47" t="s">
        <v>40</v>
      </c>
      <c r="C8" s="47" t="s">
        <v>40</v>
      </c>
      <c r="D8" s="47" t="s">
        <v>40</v>
      </c>
      <c r="E8" s="47" t="s">
        <v>40</v>
      </c>
      <c r="F8" s="47" t="s">
        <v>40</v>
      </c>
      <c r="G8" s="47" t="s">
        <v>40</v>
      </c>
      <c r="H8" s="47" t="s">
        <v>40</v>
      </c>
      <c r="I8" s="47" t="s">
        <v>40</v>
      </c>
      <c r="J8" s="47" t="s">
        <v>40</v>
      </c>
      <c r="K8" s="47" t="s">
        <v>40</v>
      </c>
      <c r="L8" s="47" t="s">
        <v>40</v>
      </c>
      <c r="M8" s="47" t="s">
        <v>40</v>
      </c>
      <c r="N8" s="47" t="s">
        <v>40</v>
      </c>
      <c r="O8" s="47" t="s">
        <v>40</v>
      </c>
      <c r="P8" s="2"/>
    </row>
    <row r="9" spans="1:16" ht="21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21.95" customHeight="1">
      <c r="A10" s="2"/>
      <c r="B10" s="52" t="s">
        <v>41</v>
      </c>
      <c r="C10" s="52" t="s">
        <v>41</v>
      </c>
      <c r="D10" s="52" t="s">
        <v>41</v>
      </c>
      <c r="E10" s="52" t="s">
        <v>41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30" customHeight="1">
      <c r="A11" s="2"/>
      <c r="B11" s="54" t="s">
        <v>42</v>
      </c>
      <c r="C11" s="54" t="s">
        <v>42</v>
      </c>
      <c r="D11" s="54" t="s">
        <v>42</v>
      </c>
      <c r="E11" s="39">
        <v>0.03</v>
      </c>
      <c r="F11" s="2"/>
      <c r="G11" s="47" t="s">
        <v>43</v>
      </c>
      <c r="H11" s="47" t="s">
        <v>43</v>
      </c>
      <c r="I11" s="47" t="s">
        <v>43</v>
      </c>
      <c r="J11" s="47" t="s">
        <v>43</v>
      </c>
      <c r="K11" s="47" t="s">
        <v>43</v>
      </c>
      <c r="L11" s="47" t="s">
        <v>43</v>
      </c>
      <c r="M11" s="47" t="s">
        <v>43</v>
      </c>
      <c r="N11" s="47" t="s">
        <v>43</v>
      </c>
      <c r="O11" s="47" t="s">
        <v>43</v>
      </c>
      <c r="P11" s="2"/>
    </row>
    <row r="12" spans="1:16" ht="30" customHeight="1">
      <c r="A12" s="2"/>
      <c r="B12" s="54" t="s">
        <v>44</v>
      </c>
      <c r="C12" s="54" t="s">
        <v>44</v>
      </c>
      <c r="D12" s="54" t="s">
        <v>44</v>
      </c>
      <c r="E12" s="39">
        <v>0.05</v>
      </c>
      <c r="F12" s="2"/>
      <c r="G12" s="47" t="s">
        <v>45</v>
      </c>
      <c r="H12" s="47" t="s">
        <v>45</v>
      </c>
      <c r="I12" s="47" t="s">
        <v>45</v>
      </c>
      <c r="J12" s="47" t="s">
        <v>45</v>
      </c>
      <c r="K12" s="47" t="s">
        <v>45</v>
      </c>
      <c r="L12" s="47" t="s">
        <v>45</v>
      </c>
      <c r="M12" s="47" t="s">
        <v>45</v>
      </c>
      <c r="N12" s="47" t="s">
        <v>45</v>
      </c>
      <c r="O12" s="47" t="s">
        <v>45</v>
      </c>
      <c r="P12" s="2"/>
    </row>
    <row r="13" spans="1:16" ht="30" customHeight="1">
      <c r="A13" s="2"/>
      <c r="B13" s="54" t="s">
        <v>46</v>
      </c>
      <c r="C13" s="54" t="s">
        <v>46</v>
      </c>
      <c r="D13" s="54" t="s">
        <v>46</v>
      </c>
      <c r="E13" s="39">
        <v>-0.02</v>
      </c>
      <c r="F13" s="2"/>
      <c r="G13" s="47" t="s">
        <v>47</v>
      </c>
      <c r="H13" s="47" t="s">
        <v>47</v>
      </c>
      <c r="I13" s="47" t="s">
        <v>47</v>
      </c>
      <c r="J13" s="47" t="s">
        <v>47</v>
      </c>
      <c r="K13" s="47" t="s">
        <v>47</v>
      </c>
      <c r="L13" s="47" t="s">
        <v>47</v>
      </c>
      <c r="M13" s="47" t="s">
        <v>47</v>
      </c>
      <c r="N13" s="47" t="s">
        <v>47</v>
      </c>
      <c r="O13" s="47" t="s">
        <v>47</v>
      </c>
      <c r="P13" s="2"/>
    </row>
    <row r="14" spans="1:16" ht="30" customHeight="1">
      <c r="A14" s="2"/>
      <c r="B14" s="54" t="s">
        <v>48</v>
      </c>
      <c r="C14" s="54" t="s">
        <v>48</v>
      </c>
      <c r="D14" s="54" t="s">
        <v>48</v>
      </c>
      <c r="E14" s="39">
        <v>0</v>
      </c>
      <c r="F14" s="2"/>
      <c r="G14" s="47" t="s">
        <v>49</v>
      </c>
      <c r="H14" s="47" t="s">
        <v>49</v>
      </c>
      <c r="I14" s="47" t="s">
        <v>49</v>
      </c>
      <c r="J14" s="47" t="s">
        <v>49</v>
      </c>
      <c r="K14" s="47" t="s">
        <v>49</v>
      </c>
      <c r="L14" s="47" t="s">
        <v>49</v>
      </c>
      <c r="M14" s="47" t="s">
        <v>49</v>
      </c>
      <c r="N14" s="47" t="s">
        <v>49</v>
      </c>
      <c r="O14" s="47" t="s">
        <v>49</v>
      </c>
      <c r="P14" s="2"/>
    </row>
    <row r="15" spans="1:16" ht="30" customHeight="1">
      <c r="A15" s="2"/>
      <c r="B15" s="54" t="s">
        <v>50</v>
      </c>
      <c r="C15" s="54" t="s">
        <v>50</v>
      </c>
      <c r="D15" s="54" t="s">
        <v>50</v>
      </c>
      <c r="E15" s="39">
        <v>-0.15</v>
      </c>
      <c r="F15" s="2"/>
      <c r="G15" s="47" t="s">
        <v>51</v>
      </c>
      <c r="H15" s="47" t="s">
        <v>51</v>
      </c>
      <c r="I15" s="47" t="s">
        <v>51</v>
      </c>
      <c r="J15" s="47" t="s">
        <v>51</v>
      </c>
      <c r="K15" s="47" t="s">
        <v>51</v>
      </c>
      <c r="L15" s="47" t="s">
        <v>51</v>
      </c>
      <c r="M15" s="47" t="s">
        <v>51</v>
      </c>
      <c r="N15" s="47" t="s">
        <v>51</v>
      </c>
      <c r="O15" s="47" t="s">
        <v>51</v>
      </c>
      <c r="P15" s="2"/>
    </row>
    <row r="16" spans="1:16" ht="30" customHeight="1">
      <c r="A16" s="2"/>
      <c r="B16" s="54" t="s">
        <v>52</v>
      </c>
      <c r="C16" s="54" t="s">
        <v>52</v>
      </c>
      <c r="D16" s="54" t="s">
        <v>52</v>
      </c>
      <c r="E16" s="39">
        <v>0</v>
      </c>
      <c r="F16" s="2"/>
      <c r="G16" s="47" t="s">
        <v>53</v>
      </c>
      <c r="H16" s="47" t="s">
        <v>53</v>
      </c>
      <c r="I16" s="47" t="s">
        <v>53</v>
      </c>
      <c r="J16" s="47" t="s">
        <v>53</v>
      </c>
      <c r="K16" s="47" t="s">
        <v>53</v>
      </c>
      <c r="L16" s="47" t="s">
        <v>53</v>
      </c>
      <c r="M16" s="47" t="s">
        <v>53</v>
      </c>
      <c r="N16" s="47" t="s">
        <v>53</v>
      </c>
      <c r="O16" s="47" t="s">
        <v>53</v>
      </c>
      <c r="P16" s="2"/>
    </row>
    <row r="17" spans="1:16" ht="21.9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21.95" customHeight="1">
      <c r="A18" s="2"/>
      <c r="B18" s="2"/>
      <c r="C18" s="2"/>
      <c r="D18" s="2"/>
      <c r="E18" s="25" t="str">
        <f>IF(AND(COUNT(E11:E16)=6,MIN(E11:E16)&gt;=-1),"Ready","Enter six numeric changes of -100% or higher")</f>
        <v>Ready</v>
      </c>
      <c r="F18" s="2"/>
      <c r="G18" s="47" t="s">
        <v>54</v>
      </c>
      <c r="H18" s="47" t="s">
        <v>54</v>
      </c>
      <c r="I18" s="47" t="s">
        <v>54</v>
      </c>
      <c r="J18" s="47" t="s">
        <v>54</v>
      </c>
      <c r="K18" s="47" t="s">
        <v>54</v>
      </c>
      <c r="L18" s="47" t="s">
        <v>54</v>
      </c>
      <c r="M18" s="47" t="s">
        <v>54</v>
      </c>
      <c r="N18" s="47" t="s">
        <v>54</v>
      </c>
      <c r="O18" s="47" t="s">
        <v>54</v>
      </c>
      <c r="P18" s="2"/>
    </row>
    <row r="19" spans="1:16" ht="21.9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21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ht="30.95" customHeight="1">
      <c r="A21" s="2"/>
      <c r="B21" s="7" t="s">
        <v>55</v>
      </c>
      <c r="C21" s="6"/>
      <c r="D21" s="6"/>
      <c r="E21" s="7" t="s">
        <v>56</v>
      </c>
      <c r="F21" s="6"/>
      <c r="G21" s="6"/>
      <c r="H21" s="7" t="s">
        <v>57</v>
      </c>
      <c r="I21" s="6"/>
      <c r="J21" s="6"/>
      <c r="K21" s="7" t="s">
        <v>58</v>
      </c>
      <c r="L21" s="2"/>
      <c r="M21" s="2"/>
      <c r="N21" s="2"/>
      <c r="O21" s="2"/>
      <c r="P21" s="2"/>
    </row>
    <row r="22" spans="1:16" ht="21.9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21.95" customHeight="1">
      <c r="A23" s="2"/>
      <c r="B23" s="54" t="s">
        <v>59</v>
      </c>
      <c r="C23" s="54" t="s">
        <v>59</v>
      </c>
      <c r="D23" s="54" t="s">
        <v>59</v>
      </c>
      <c r="E23" s="26">
        <f>IF(ISNUMBER('Monthly financials'!P15),'Monthly financials'!P15,"")</f>
        <v>729000</v>
      </c>
      <c r="F23" s="2"/>
      <c r="G23" s="2"/>
      <c r="H23" s="24">
        <f>IF(AND($E$18="Ready",COUNT(E23)=1),E23*(1+$E$11)*(1+$E$12),"")</f>
        <v>788413.5</v>
      </c>
      <c r="I23" s="2"/>
      <c r="J23" s="2"/>
      <c r="K23" s="24">
        <f>IF(COUNT(E23,H23)=2,(H23-E23),"")</f>
        <v>59413.5</v>
      </c>
      <c r="L23" s="2"/>
      <c r="M23" s="2"/>
      <c r="N23" s="2"/>
      <c r="O23" s="2"/>
      <c r="P23" s="2"/>
    </row>
    <row r="24" spans="1:16" ht="21.95" customHeight="1">
      <c r="A24" s="2"/>
      <c r="B24" s="54" t="s">
        <v>60</v>
      </c>
      <c r="C24" s="54" t="s">
        <v>60</v>
      </c>
      <c r="D24" s="54" t="s">
        <v>60</v>
      </c>
      <c r="E24" s="26">
        <f>IF(ISNUMBER('Monthly financials'!P16),'Monthly financials'!P16,"")</f>
        <v>0</v>
      </c>
      <c r="F24" s="2"/>
      <c r="G24" s="2"/>
      <c r="H24" s="24">
        <f>IF(AND($E$18="Ready",COUNT(E24)=1),E24,"")</f>
        <v>0</v>
      </c>
      <c r="I24" s="2"/>
      <c r="J24" s="2"/>
      <c r="K24" s="24">
        <f>IF(COUNT(E24,H24)=2,(H24-E24),"")</f>
        <v>0</v>
      </c>
      <c r="L24" s="2"/>
      <c r="M24" s="2"/>
      <c r="N24" s="2"/>
      <c r="O24" s="2"/>
      <c r="P24" s="2"/>
    </row>
    <row r="25" spans="1:16" ht="21.95" customHeight="1">
      <c r="A25" s="2"/>
      <c r="B25" s="66" t="s">
        <v>61</v>
      </c>
      <c r="C25" s="66" t="s">
        <v>61</v>
      </c>
      <c r="D25" s="66" t="s">
        <v>61</v>
      </c>
      <c r="E25" s="30">
        <f>IF(ISNUMBER('Monthly financials'!P17),'Monthly financials'!P17,"")</f>
        <v>729000</v>
      </c>
      <c r="F25" s="13"/>
      <c r="G25" s="13"/>
      <c r="H25" s="31">
        <f>IF(AND($E$18="Ready",COUNT(H23,H24)=2),SUM(H23:H24),"")</f>
        <v>788413.5</v>
      </c>
      <c r="I25" s="13"/>
      <c r="J25" s="13"/>
      <c r="K25" s="31">
        <f>IF(COUNT(E25,H25)=2,(H25-E25),"")</f>
        <v>59413.5</v>
      </c>
      <c r="L25" s="2"/>
      <c r="M25" s="2"/>
      <c r="N25" s="2"/>
      <c r="O25" s="2"/>
      <c r="P25" s="2"/>
    </row>
    <row r="26" spans="1:16" ht="21.9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ht="21.95" customHeight="1">
      <c r="A27" s="2"/>
      <c r="B27" s="54" t="s">
        <v>62</v>
      </c>
      <c r="C27" s="54" t="s">
        <v>62</v>
      </c>
      <c r="D27" s="54" t="s">
        <v>62</v>
      </c>
      <c r="E27" s="26">
        <f>IF(ISNUMBER('Monthly financials'!P22),'Monthly financials'!P22,"")</f>
        <v>340850</v>
      </c>
      <c r="F27" s="2"/>
      <c r="G27" s="2"/>
      <c r="H27" s="24">
        <f>IF(AND($E$18="Ready",COUNT(E27)=1),E27*(1+$E$12)*(1+$E$13),"")</f>
        <v>350734.64999999997</v>
      </c>
      <c r="I27" s="2"/>
      <c r="J27" s="2"/>
      <c r="K27" s="24">
        <f>IF(COUNT(E27,H27)=2,(H27-E27),"")</f>
        <v>9884.6499999999651</v>
      </c>
      <c r="L27" s="2"/>
      <c r="M27" s="2"/>
      <c r="N27" s="2"/>
      <c r="O27" s="2"/>
      <c r="P27" s="2"/>
    </row>
    <row r="28" spans="1:16" ht="21.95" customHeight="1">
      <c r="A28" s="2"/>
      <c r="B28" s="66" t="s">
        <v>63</v>
      </c>
      <c r="C28" s="66" t="s">
        <v>63</v>
      </c>
      <c r="D28" s="66" t="s">
        <v>63</v>
      </c>
      <c r="E28" s="30">
        <f>IF(ISNUMBER('Monthly financials'!P23),'Monthly financials'!P23,"")</f>
        <v>388150</v>
      </c>
      <c r="F28" s="13"/>
      <c r="G28" s="13"/>
      <c r="H28" s="31">
        <f>IF(AND($E$18="Ready",COUNT(H25,H27)=2),H25-H27,"")</f>
        <v>437678.85000000003</v>
      </c>
      <c r="I28" s="13"/>
      <c r="J28" s="13"/>
      <c r="K28" s="31">
        <f>IF(COUNT(E28,H28)=2,(H28-E28),"")</f>
        <v>49528.850000000035</v>
      </c>
      <c r="L28" s="2"/>
      <c r="M28" s="2"/>
      <c r="N28" s="2"/>
      <c r="O28" s="2"/>
      <c r="P28" s="2"/>
    </row>
    <row r="29" spans="1:16" ht="21.95" customHeight="1">
      <c r="A29" s="2"/>
      <c r="B29" s="67" t="s">
        <v>64</v>
      </c>
      <c r="C29" s="67" t="s">
        <v>64</v>
      </c>
      <c r="D29" s="67" t="s">
        <v>64</v>
      </c>
      <c r="E29" s="27">
        <f>IF(ISNUMBER('Monthly financials'!P24),'Monthly financials'!P24,"")</f>
        <v>0.53244170096021948</v>
      </c>
      <c r="F29" s="21"/>
      <c r="G29" s="21"/>
      <c r="H29" s="28">
        <f>IF(COUNT(H28,H25)=2,IF(H25&gt;0,H28/H25,"n.a."),"")</f>
        <v>0.55513870576797586</v>
      </c>
      <c r="I29" s="21"/>
      <c r="J29" s="21"/>
      <c r="K29" s="29">
        <f>IF(COUNT(E29,H29)=2,(H29-E29)*100,"")</f>
        <v>2.2697004807756382</v>
      </c>
      <c r="L29" s="2"/>
      <c r="M29" s="2"/>
      <c r="N29" s="2"/>
      <c r="O29" s="2"/>
      <c r="P29" s="2"/>
    </row>
    <row r="30" spans="1:16" ht="21.9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21.95" customHeight="1">
      <c r="A31" s="2"/>
      <c r="B31" s="54" t="s">
        <v>65</v>
      </c>
      <c r="C31" s="54" t="s">
        <v>65</v>
      </c>
      <c r="D31" s="54" t="s">
        <v>65</v>
      </c>
      <c r="E31" s="26">
        <f>IF(ISNUMBER('Monthly financials'!P27),'Monthly financials'!P27,"")</f>
        <v>129900</v>
      </c>
      <c r="F31" s="2"/>
      <c r="G31" s="2"/>
      <c r="H31" s="24">
        <f>IF(AND($E$18="Ready",COUNT(E31)=1),E31*(1+$E$14),"")</f>
        <v>129900</v>
      </c>
      <c r="I31" s="2"/>
      <c r="J31" s="2"/>
      <c r="K31" s="24">
        <f t="shared" ref="K31:K36" si="0">IF(COUNT(E31,H31)=2,(H31-E31),"")</f>
        <v>0</v>
      </c>
      <c r="L31" s="2"/>
      <c r="M31" s="2"/>
      <c r="N31" s="2"/>
      <c r="O31" s="2"/>
      <c r="P31" s="2"/>
    </row>
    <row r="32" spans="1:16" ht="21.95" customHeight="1">
      <c r="A32" s="2"/>
      <c r="B32" s="54" t="s">
        <v>66</v>
      </c>
      <c r="C32" s="54" t="s">
        <v>66</v>
      </c>
      <c r="D32" s="54" t="s">
        <v>66</v>
      </c>
      <c r="E32" s="26">
        <f>IF(ISNUMBER('Monthly financials'!P31),'Monthly financials'!P31,"")</f>
        <v>11700</v>
      </c>
      <c r="F32" s="2"/>
      <c r="G32" s="2"/>
      <c r="H32" s="24">
        <f>IF(AND($E$18="Ready",COUNT(E32)=1),E32*(1+$E$15),"")</f>
        <v>9945</v>
      </c>
      <c r="I32" s="2"/>
      <c r="J32" s="2"/>
      <c r="K32" s="24">
        <f t="shared" si="0"/>
        <v>-1755</v>
      </c>
      <c r="L32" s="2"/>
      <c r="M32" s="2"/>
      <c r="N32" s="2"/>
      <c r="O32" s="2"/>
      <c r="P32" s="2"/>
    </row>
    <row r="33" spans="1:16" ht="21.95" customHeight="1">
      <c r="A33" s="2"/>
      <c r="B33" s="54" t="s">
        <v>67</v>
      </c>
      <c r="C33" s="54" t="s">
        <v>67</v>
      </c>
      <c r="D33" s="54" t="s">
        <v>67</v>
      </c>
      <c r="E33" s="26">
        <f>IF(COUNT('Monthly financials'!P28:P30,'Monthly financials'!P32:P35,'Monthly financials'!P37)=8,SUM('Monthly financials'!P28:P30,'Monthly financials'!P32:P35,'Monthly financials'!P37),"")</f>
        <v>98230</v>
      </c>
      <c r="F33" s="2"/>
      <c r="G33" s="2"/>
      <c r="H33" s="24">
        <f>IF(AND($E$18="Ready",COUNT(E33)=1),E33*(1+$E$16),"")</f>
        <v>98230</v>
      </c>
      <c r="I33" s="2"/>
      <c r="J33" s="2"/>
      <c r="K33" s="24">
        <f t="shared" si="0"/>
        <v>0</v>
      </c>
      <c r="L33" s="2"/>
      <c r="M33" s="2"/>
      <c r="N33" s="2"/>
      <c r="O33" s="2"/>
      <c r="P33" s="2"/>
    </row>
    <row r="34" spans="1:16" ht="21.95" customHeight="1">
      <c r="A34" s="2"/>
      <c r="B34" s="54" t="s">
        <v>68</v>
      </c>
      <c r="C34" s="54" t="s">
        <v>68</v>
      </c>
      <c r="D34" s="54" t="s">
        <v>68</v>
      </c>
      <c r="E34" s="26">
        <f>IF(ISNUMBER('Monthly financials'!P36),'Monthly financials'!P36,"")</f>
        <v>7200</v>
      </c>
      <c r="F34" s="2"/>
      <c r="G34" s="2"/>
      <c r="H34" s="24">
        <f>IF(AND($E$18="Ready",COUNT(E34)=1),E34,"")</f>
        <v>7200</v>
      </c>
      <c r="I34" s="2"/>
      <c r="J34" s="2"/>
      <c r="K34" s="24">
        <f t="shared" si="0"/>
        <v>0</v>
      </c>
      <c r="L34" s="2"/>
      <c r="M34" s="2"/>
      <c r="N34" s="2"/>
      <c r="O34" s="2"/>
      <c r="P34" s="2"/>
    </row>
    <row r="35" spans="1:16" ht="21.95" customHeight="1">
      <c r="A35" s="2"/>
      <c r="B35" s="66" t="s">
        <v>69</v>
      </c>
      <c r="C35" s="66" t="s">
        <v>69</v>
      </c>
      <c r="D35" s="66" t="s">
        <v>69</v>
      </c>
      <c r="E35" s="30">
        <f>IF(ISNUMBER('Monthly financials'!P38),'Monthly financials'!P38,"")</f>
        <v>247030</v>
      </c>
      <c r="F35" s="13"/>
      <c r="G35" s="13"/>
      <c r="H35" s="31">
        <f>IF(AND($E$18="Ready",COUNT(H31,H32,H33,H34)=4),SUM(H31:H34),"")</f>
        <v>245275</v>
      </c>
      <c r="I35" s="13"/>
      <c r="J35" s="13"/>
      <c r="K35" s="31">
        <f t="shared" si="0"/>
        <v>-1755</v>
      </c>
      <c r="L35" s="2"/>
      <c r="M35" s="2"/>
      <c r="N35" s="2"/>
      <c r="O35" s="2"/>
      <c r="P35" s="2"/>
    </row>
    <row r="36" spans="1:16" ht="21.95" customHeight="1">
      <c r="A36" s="2"/>
      <c r="B36" s="66" t="s">
        <v>70</v>
      </c>
      <c r="C36" s="66" t="s">
        <v>70</v>
      </c>
      <c r="D36" s="66" t="s">
        <v>70</v>
      </c>
      <c r="E36" s="30">
        <f>IF(ISNUMBER('Monthly financials'!P39),'Monthly financials'!P39,"")</f>
        <v>141120</v>
      </c>
      <c r="F36" s="13"/>
      <c r="G36" s="13"/>
      <c r="H36" s="31">
        <f>IF(AND($E$18="Ready",COUNT(H28,H35)=2),H28-H35,"")</f>
        <v>192403.85000000003</v>
      </c>
      <c r="I36" s="13"/>
      <c r="J36" s="13"/>
      <c r="K36" s="31">
        <f t="shared" si="0"/>
        <v>51283.850000000035</v>
      </c>
      <c r="L36" s="2"/>
      <c r="M36" s="2"/>
      <c r="N36" s="2"/>
      <c r="O36" s="2"/>
      <c r="P36" s="2"/>
    </row>
    <row r="37" spans="1:16" ht="21.95" customHeight="1">
      <c r="A37" s="2"/>
      <c r="B37" s="67" t="s">
        <v>7</v>
      </c>
      <c r="C37" s="67" t="s">
        <v>7</v>
      </c>
      <c r="D37" s="67" t="s">
        <v>7</v>
      </c>
      <c r="E37" s="27">
        <f>IF(ISNUMBER('Monthly financials'!P40),'Monthly financials'!P40,"")</f>
        <v>0.19358024691358025</v>
      </c>
      <c r="F37" s="21"/>
      <c r="G37" s="21"/>
      <c r="H37" s="28">
        <f>IF(COUNT(H36,H25)=2,IF(H25&gt;0,H36/H25,"n.a."),"")</f>
        <v>0.24403926366050308</v>
      </c>
      <c r="I37" s="21"/>
      <c r="J37" s="21"/>
      <c r="K37" s="29">
        <f>IF(COUNT(E37,H37)=2,(H37-E37)*100,"")</f>
        <v>5.0459016746922822</v>
      </c>
      <c r="L37" s="2"/>
      <c r="M37" s="2"/>
      <c r="N37" s="2"/>
      <c r="O37" s="2"/>
      <c r="P37" s="2"/>
    </row>
    <row r="38" spans="1:16" ht="21.9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ht="21.95" customHeight="1">
      <c r="A39" s="2"/>
      <c r="B39" s="54" t="s">
        <v>71</v>
      </c>
      <c r="C39" s="54" t="s">
        <v>71</v>
      </c>
      <c r="D39" s="54" t="s">
        <v>71</v>
      </c>
      <c r="E39" s="26">
        <f>IF(ISNUMBER('Monthly financials'!P41),'Monthly financials'!P41,"")</f>
        <v>2160</v>
      </c>
      <c r="F39" s="2"/>
      <c r="G39" s="2"/>
      <c r="H39" s="24">
        <f>IF(AND($E$18="Ready",COUNT(E39)=1),E39,"")</f>
        <v>2160</v>
      </c>
      <c r="I39" s="2"/>
      <c r="J39" s="2"/>
      <c r="K39" s="24">
        <f>IF(COUNT(E39,H39)=2,(H39-E39),"")</f>
        <v>0</v>
      </c>
      <c r="L39" s="2"/>
      <c r="M39" s="2"/>
      <c r="N39" s="2"/>
      <c r="O39" s="2"/>
      <c r="P39" s="2"/>
    </row>
    <row r="40" spans="1:16" ht="21.95" customHeight="1">
      <c r="A40" s="2"/>
      <c r="B40" s="54" t="s">
        <v>72</v>
      </c>
      <c r="C40" s="54" t="s">
        <v>72</v>
      </c>
      <c r="D40" s="54" t="s">
        <v>72</v>
      </c>
      <c r="E40" s="26">
        <f>IF(ISNUMBER('Monthly financials'!P42),'Monthly financials'!P42,"")</f>
        <v>0</v>
      </c>
      <c r="F40" s="2"/>
      <c r="G40" s="2"/>
      <c r="H40" s="24">
        <f>IF(AND($E$18="Ready",COUNT(E40)=1),E40,"")</f>
        <v>0</v>
      </c>
      <c r="I40" s="2"/>
      <c r="J40" s="2"/>
      <c r="K40" s="24">
        <f>IF(COUNT(E40,H40)=2,(H40-E40),"")</f>
        <v>0</v>
      </c>
      <c r="L40" s="2"/>
      <c r="M40" s="2"/>
      <c r="N40" s="2"/>
      <c r="O40" s="2"/>
      <c r="P40" s="2"/>
    </row>
    <row r="41" spans="1:16" ht="21.95" customHeight="1">
      <c r="A41" s="2"/>
      <c r="B41" s="68" t="s">
        <v>6</v>
      </c>
      <c r="C41" s="68" t="s">
        <v>6</v>
      </c>
      <c r="D41" s="68" t="s">
        <v>6</v>
      </c>
      <c r="E41" s="32">
        <f>IF(ISNUMBER('Monthly financials'!P43),'Monthly financials'!P43,"")</f>
        <v>138960</v>
      </c>
      <c r="F41" s="14"/>
      <c r="G41" s="14"/>
      <c r="H41" s="33">
        <f>IF(AND($E$18="Ready",COUNT(H36,H39,H40)=3),H36-H39+H40,"")</f>
        <v>190243.85000000003</v>
      </c>
      <c r="I41" s="14"/>
      <c r="J41" s="14"/>
      <c r="K41" s="33">
        <f>IF(COUNT(E41,H41)=2,(H41-E41),"")</f>
        <v>51283.850000000035</v>
      </c>
      <c r="L41" s="2"/>
      <c r="M41" s="2"/>
      <c r="N41" s="2"/>
      <c r="O41" s="2"/>
      <c r="P41" s="2"/>
    </row>
    <row r="42" spans="1:16" ht="21.95" customHeight="1">
      <c r="A42" s="2"/>
      <c r="B42" s="67" t="s">
        <v>73</v>
      </c>
      <c r="C42" s="67" t="s">
        <v>73</v>
      </c>
      <c r="D42" s="67" t="s">
        <v>73</v>
      </c>
      <c r="E42" s="28">
        <f>IF(COUNT(E41,E25)=2,IF(E25&gt;0,E41/E25,"n.a."),"")</f>
        <v>0.19061728395061728</v>
      </c>
      <c r="F42" s="21"/>
      <c r="G42" s="21"/>
      <c r="H42" s="28">
        <f>IF(COUNT(H41,H25)=2,IF(H25&gt;0,H41/H25,"n.a."),"")</f>
        <v>0.24129958454541942</v>
      </c>
      <c r="I42" s="21"/>
      <c r="J42" s="21"/>
      <c r="K42" s="29">
        <f>IF(COUNT(E42,H42)=2,(H42-E42)*100,"")</f>
        <v>5.0682300594802134</v>
      </c>
      <c r="L42" s="2"/>
      <c r="M42" s="2"/>
      <c r="N42" s="2"/>
      <c r="O42" s="2"/>
      <c r="P42" s="2"/>
    </row>
    <row r="43" spans="1:16" ht="21.9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ht="21.9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 ht="21.95" customHeight="1">
      <c r="A45" s="2"/>
      <c r="B45" s="47" t="s">
        <v>74</v>
      </c>
      <c r="C45" s="47" t="s">
        <v>74</v>
      </c>
      <c r="D45" s="47" t="s">
        <v>74</v>
      </c>
      <c r="E45" s="47" t="s">
        <v>74</v>
      </c>
      <c r="F45" s="47" t="s">
        <v>74</v>
      </c>
      <c r="G45" s="47" t="s">
        <v>74</v>
      </c>
      <c r="H45" s="47" t="s">
        <v>74</v>
      </c>
      <c r="I45" s="47" t="s">
        <v>74</v>
      </c>
      <c r="J45" s="47" t="s">
        <v>74</v>
      </c>
      <c r="K45" s="47" t="s">
        <v>74</v>
      </c>
      <c r="L45" s="47" t="s">
        <v>74</v>
      </c>
      <c r="M45" s="47" t="s">
        <v>74</v>
      </c>
      <c r="N45" s="47" t="s">
        <v>74</v>
      </c>
      <c r="O45" s="47" t="s">
        <v>74</v>
      </c>
      <c r="P45" s="2"/>
    </row>
    <row r="46" spans="1:16" ht="21.95" customHeight="1">
      <c r="A46" s="2"/>
      <c r="B46" s="47" t="s">
        <v>74</v>
      </c>
      <c r="C46" s="47" t="s">
        <v>74</v>
      </c>
      <c r="D46" s="47" t="s">
        <v>74</v>
      </c>
      <c r="E46" s="47" t="s">
        <v>74</v>
      </c>
      <c r="F46" s="47" t="s">
        <v>74</v>
      </c>
      <c r="G46" s="47" t="s">
        <v>74</v>
      </c>
      <c r="H46" s="47" t="s">
        <v>74</v>
      </c>
      <c r="I46" s="47" t="s">
        <v>74</v>
      </c>
      <c r="J46" s="47" t="s">
        <v>74</v>
      </c>
      <c r="K46" s="47" t="s">
        <v>74</v>
      </c>
      <c r="L46" s="47" t="s">
        <v>74</v>
      </c>
      <c r="M46" s="47" t="s">
        <v>74</v>
      </c>
      <c r="N46" s="47" t="s">
        <v>74</v>
      </c>
      <c r="O46" s="47" t="s">
        <v>74</v>
      </c>
      <c r="P46" s="2"/>
    </row>
    <row r="47" spans="1:16" ht="21.9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ht="21.95" customHeight="1">
      <c r="A48" s="2"/>
      <c r="B48" s="47" t="s">
        <v>75</v>
      </c>
      <c r="C48" s="47" t="s">
        <v>75</v>
      </c>
      <c r="D48" s="47" t="s">
        <v>75</v>
      </c>
      <c r="E48" s="47" t="s">
        <v>75</v>
      </c>
      <c r="F48" s="47" t="s">
        <v>75</v>
      </c>
      <c r="G48" s="47" t="s">
        <v>75</v>
      </c>
      <c r="H48" s="47" t="s">
        <v>75</v>
      </c>
      <c r="I48" s="47" t="s">
        <v>75</v>
      </c>
      <c r="J48" s="47" t="s">
        <v>75</v>
      </c>
      <c r="K48" s="47" t="s">
        <v>75</v>
      </c>
      <c r="L48" s="47" t="s">
        <v>75</v>
      </c>
      <c r="M48" s="47" t="s">
        <v>75</v>
      </c>
      <c r="N48" s="47" t="s">
        <v>75</v>
      </c>
      <c r="O48" s="47" t="s">
        <v>75</v>
      </c>
      <c r="P48" s="2"/>
    </row>
    <row r="49" spans="1:16" ht="21.95" customHeight="1">
      <c r="A49" s="2"/>
      <c r="B49" s="47" t="s">
        <v>75</v>
      </c>
      <c r="C49" s="47" t="s">
        <v>75</v>
      </c>
      <c r="D49" s="47" t="s">
        <v>75</v>
      </c>
      <c r="E49" s="47" t="s">
        <v>75</v>
      </c>
      <c r="F49" s="47" t="s">
        <v>75</v>
      </c>
      <c r="G49" s="47" t="s">
        <v>75</v>
      </c>
      <c r="H49" s="47" t="s">
        <v>75</v>
      </c>
      <c r="I49" s="47" t="s">
        <v>75</v>
      </c>
      <c r="J49" s="47" t="s">
        <v>75</v>
      </c>
      <c r="K49" s="47" t="s">
        <v>75</v>
      </c>
      <c r="L49" s="47" t="s">
        <v>75</v>
      </c>
      <c r="M49" s="47" t="s">
        <v>75</v>
      </c>
      <c r="N49" s="47" t="s">
        <v>75</v>
      </c>
      <c r="O49" s="47" t="s">
        <v>75</v>
      </c>
      <c r="P49" s="2"/>
    </row>
    <row r="50" spans="1:16" ht="21.9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21.95" customHeight="1">
      <c r="A51" s="2"/>
      <c r="B51" s="69" t="s">
        <v>76</v>
      </c>
      <c r="C51" s="69" t="s">
        <v>76</v>
      </c>
      <c r="D51" s="69" t="s">
        <v>76</v>
      </c>
      <c r="E51" s="69" t="s">
        <v>76</v>
      </c>
      <c r="F51" s="69" t="s">
        <v>76</v>
      </c>
      <c r="G51" s="69" t="s">
        <v>76</v>
      </c>
      <c r="H51" s="69" t="s">
        <v>76</v>
      </c>
      <c r="I51" s="69" t="s">
        <v>76</v>
      </c>
      <c r="J51" s="69" t="s">
        <v>76</v>
      </c>
      <c r="K51" s="69" t="s">
        <v>76</v>
      </c>
      <c r="L51" s="69" t="s">
        <v>76</v>
      </c>
      <c r="M51" s="69" t="s">
        <v>76</v>
      </c>
      <c r="N51" s="69" t="s">
        <v>76</v>
      </c>
      <c r="O51" s="69" t="s">
        <v>76</v>
      </c>
      <c r="P51" s="2"/>
    </row>
    <row r="52" spans="1:16" ht="21.9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21.9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</sheetData>
  <sheetProtection sheet="1" objects="1" scenarios="1"/>
  <mergeCells count="38">
    <mergeCell ref="B51:O51"/>
    <mergeCell ref="B40:D40"/>
    <mergeCell ref="B41:D41"/>
    <mergeCell ref="B42:D42"/>
    <mergeCell ref="B45:O46"/>
    <mergeCell ref="B48:O49"/>
    <mergeCell ref="B34:D34"/>
    <mergeCell ref="B35:D35"/>
    <mergeCell ref="B36:D36"/>
    <mergeCell ref="B37:D37"/>
    <mergeCell ref="B39:D39"/>
    <mergeCell ref="B28:D28"/>
    <mergeCell ref="B29:D29"/>
    <mergeCell ref="B31:D31"/>
    <mergeCell ref="B32:D32"/>
    <mergeCell ref="B33:D33"/>
    <mergeCell ref="G18:O18"/>
    <mergeCell ref="B23:D23"/>
    <mergeCell ref="B24:D24"/>
    <mergeCell ref="B25:D25"/>
    <mergeCell ref="B27:D27"/>
    <mergeCell ref="B14:D14"/>
    <mergeCell ref="G14:O14"/>
    <mergeCell ref="B15:D15"/>
    <mergeCell ref="G15:O15"/>
    <mergeCell ref="B16:D16"/>
    <mergeCell ref="G16:O16"/>
    <mergeCell ref="B11:D11"/>
    <mergeCell ref="G11:O11"/>
    <mergeCell ref="B12:D12"/>
    <mergeCell ref="G12:O12"/>
    <mergeCell ref="B13:D13"/>
    <mergeCell ref="G13:O13"/>
    <mergeCell ref="B2:O2"/>
    <mergeCell ref="B4:O5"/>
    <mergeCell ref="B6:O6"/>
    <mergeCell ref="B8:O8"/>
    <mergeCell ref="B10:E10"/>
  </mergeCells>
  <conditionalFormatting sqref="H23:K42">
    <cfRule type="cellIs" dxfId="4" priority="1" operator="lessThan">
      <formula>0</formula>
    </cfRule>
  </conditionalFormatting>
  <dataValidations count="1">
    <dataValidation type="decimal" showErrorMessage="1" errorTitle="Check this input" error="Use a number within the permitted range. Enter 0 when the category does not apply." sqref="E11:E16" xr:uid="{00000000-0002-0000-0200-000000000000}">
      <formula1>-1</formula1>
      <formula2>3</formula2>
    </dataValidation>
  </dataValidations>
  <hyperlinks>
    <hyperlink ref="B51" r:id="rId1" xr:uid="{00000000-0004-0000-0200-000000000000}"/>
  </hyperlinks>
  <pageMargins left="0.7" right="0.7" top="0.75" bottom="0.75" header="0.3" footer="0.3"/>
  <pageSetup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02D39"/>
    <pageSetUpPr fitToPage="1"/>
  </sheetPr>
  <dimension ref="A1:P54"/>
  <sheetViews>
    <sheetView showGridLines="0" zoomScale="85" workbookViewId="0"/>
  </sheetViews>
  <sheetFormatPr defaultRowHeight="14.25"/>
  <cols>
    <col min="1" max="1" width="3" customWidth="1"/>
    <col min="2" max="15" width="6" customWidth="1"/>
    <col min="16" max="16" width="9" customWidth="1"/>
  </cols>
  <sheetData>
    <row r="1" spans="1:16" ht="14.1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4.1" customHeight="1">
      <c r="A2" s="2"/>
      <c r="B2" s="44" t="s">
        <v>2</v>
      </c>
      <c r="C2" s="44" t="s">
        <v>2</v>
      </c>
      <c r="D2" s="44" t="s">
        <v>2</v>
      </c>
      <c r="E2" s="44" t="s">
        <v>2</v>
      </c>
      <c r="F2" s="44" t="s">
        <v>2</v>
      </c>
      <c r="G2" s="44" t="s">
        <v>2</v>
      </c>
      <c r="H2" s="44" t="s">
        <v>2</v>
      </c>
      <c r="I2" s="44" t="s">
        <v>2</v>
      </c>
      <c r="J2" s="44" t="s">
        <v>2</v>
      </c>
      <c r="K2" s="44" t="s">
        <v>2</v>
      </c>
      <c r="L2" s="44" t="s">
        <v>2</v>
      </c>
      <c r="M2" s="44" t="s">
        <v>2</v>
      </c>
      <c r="N2" s="44" t="s">
        <v>2</v>
      </c>
      <c r="O2" s="44" t="s">
        <v>2</v>
      </c>
      <c r="P2" s="2"/>
    </row>
    <row r="3" spans="1:16" ht="14.1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4.1" customHeight="1">
      <c r="A4" s="2"/>
      <c r="B4" s="45" t="s">
        <v>77</v>
      </c>
      <c r="C4" s="45" t="s">
        <v>77</v>
      </c>
      <c r="D4" s="45" t="s">
        <v>77</v>
      </c>
      <c r="E4" s="45" t="s">
        <v>77</v>
      </c>
      <c r="F4" s="45" t="s">
        <v>77</v>
      </c>
      <c r="G4" s="45" t="s">
        <v>77</v>
      </c>
      <c r="H4" s="45" t="s">
        <v>77</v>
      </c>
      <c r="I4" s="45" t="s">
        <v>77</v>
      </c>
      <c r="J4" s="45" t="s">
        <v>77</v>
      </c>
      <c r="K4" s="45" t="s">
        <v>77</v>
      </c>
      <c r="L4" s="45" t="s">
        <v>77</v>
      </c>
      <c r="M4" s="45" t="s">
        <v>77</v>
      </c>
      <c r="N4" s="45" t="s">
        <v>77</v>
      </c>
      <c r="O4" s="45" t="s">
        <v>77</v>
      </c>
      <c r="P4" s="2"/>
    </row>
    <row r="5" spans="1:16" ht="14.1" customHeight="1">
      <c r="A5" s="2"/>
      <c r="B5" s="45" t="s">
        <v>77</v>
      </c>
      <c r="C5" s="45" t="s">
        <v>77</v>
      </c>
      <c r="D5" s="45" t="s">
        <v>77</v>
      </c>
      <c r="E5" s="45" t="s">
        <v>77</v>
      </c>
      <c r="F5" s="45" t="s">
        <v>77</v>
      </c>
      <c r="G5" s="45" t="s">
        <v>77</v>
      </c>
      <c r="H5" s="45" t="s">
        <v>77</v>
      </c>
      <c r="I5" s="45" t="s">
        <v>77</v>
      </c>
      <c r="J5" s="45" t="s">
        <v>77</v>
      </c>
      <c r="K5" s="45" t="s">
        <v>77</v>
      </c>
      <c r="L5" s="45" t="s">
        <v>77</v>
      </c>
      <c r="M5" s="45" t="s">
        <v>77</v>
      </c>
      <c r="N5" s="45" t="s">
        <v>77</v>
      </c>
      <c r="O5" s="45" t="s">
        <v>77</v>
      </c>
      <c r="P5" s="2"/>
    </row>
    <row r="6" spans="1:16" ht="14.1" customHeight="1">
      <c r="A6" s="2"/>
      <c r="B6" s="46" t="s">
        <v>4</v>
      </c>
      <c r="C6" s="46" t="s">
        <v>4</v>
      </c>
      <c r="D6" s="46" t="s">
        <v>4</v>
      </c>
      <c r="E6" s="46" t="s">
        <v>4</v>
      </c>
      <c r="F6" s="46" t="s">
        <v>4</v>
      </c>
      <c r="G6" s="46" t="s">
        <v>4</v>
      </c>
      <c r="H6" s="46" t="s">
        <v>4</v>
      </c>
      <c r="I6" s="46" t="s">
        <v>4</v>
      </c>
      <c r="J6" s="46" t="s">
        <v>4</v>
      </c>
      <c r="K6" s="46" t="s">
        <v>4</v>
      </c>
      <c r="L6" s="46" t="s">
        <v>4</v>
      </c>
      <c r="M6" s="46" t="s">
        <v>4</v>
      </c>
      <c r="N6" s="46" t="s">
        <v>4</v>
      </c>
      <c r="O6" s="46" t="s">
        <v>4</v>
      </c>
      <c r="P6" s="2"/>
    </row>
    <row r="7" spans="1:16" ht="14.1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4.1" customHeight="1">
      <c r="A8" s="2"/>
      <c r="B8" s="47" t="str">
        <f>IF(AND(ISNUMBER('Monthly financials'!G8),'Monthly financials'!G8&gt;0,'Monthly financials'!P45='Monthly financials'!G8,ISNUMBER('Monthly financials'!P43)),"Choose practical actions below. Record an owner, a due date, and a status for each. Print this sheet to keep the plan visible.","Start with one completed month on Monthly financials. Suggestions appear here once the figures are complete.")</f>
        <v>Choose practical actions below. Record an owner, a due date, and a status for each. Print this sheet to keep the plan visible.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2"/>
    </row>
    <row r="9" spans="1:16" ht="14.1" customHeight="1">
      <c r="A9" s="2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2"/>
    </row>
    <row r="10" spans="1:16" ht="14.1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14.1" customHeight="1">
      <c r="A11" s="2"/>
      <c r="B11" s="47" t="s">
        <v>78</v>
      </c>
      <c r="C11" s="47" t="s">
        <v>78</v>
      </c>
      <c r="D11" s="47" t="s">
        <v>78</v>
      </c>
      <c r="E11" s="47" t="s">
        <v>78</v>
      </c>
      <c r="F11" s="2"/>
      <c r="G11" s="47" t="s">
        <v>79</v>
      </c>
      <c r="H11" s="47" t="s">
        <v>79</v>
      </c>
      <c r="I11" s="47" t="s">
        <v>79</v>
      </c>
      <c r="J11" s="47" t="s">
        <v>79</v>
      </c>
      <c r="K11" s="2"/>
      <c r="L11" s="47" t="s">
        <v>80</v>
      </c>
      <c r="M11" s="47" t="s">
        <v>80</v>
      </c>
      <c r="N11" s="47" t="s">
        <v>80</v>
      </c>
      <c r="O11" s="47" t="s">
        <v>80</v>
      </c>
      <c r="P11" s="2"/>
    </row>
    <row r="12" spans="1:16" ht="14.1" customHeight="1">
      <c r="A12" s="2"/>
      <c r="B12" s="70">
        <f>IF(AND(AND(ISNUMBER('Monthly financials'!G8),'Monthly financials'!G8&gt;0,'Monthly financials'!P45='Monthly financials'!G8,ISNUMBER('Monthly financials'!P43)),ISNUMBER('Monthly financials'!P43)),'Monthly financials'!P43,"n.a.")</f>
        <v>138960</v>
      </c>
      <c r="C12" s="70"/>
      <c r="D12" s="70"/>
      <c r="E12" s="70"/>
      <c r="F12" s="2"/>
      <c r="G12" s="70">
        <f>IF(AND(AND(ISNUMBER('Monthly financials'!G8),'Monthly financials'!G8&gt;0,'Monthly financials'!P45='Monthly financials'!G8,ISNUMBER('Monthly financials'!P43)),ISNUMBER('What-if planner'!H41)),'What-if planner'!H41,"n.a.")</f>
        <v>190243.85000000003</v>
      </c>
      <c r="H12" s="70"/>
      <c r="I12" s="70"/>
      <c r="J12" s="70"/>
      <c r="K12" s="2"/>
      <c r="L12" s="70">
        <f>IF(AND(ISNUMBER('Profit target'!E8),AND(ISNUMBER('Monthly financials'!G8),'Monthly financials'!G8&gt;0,'Monthly financials'!P45='Monthly financials'!G8,ISNUMBER('Monthly financials'!P43)),ISNUMBER('What-if planner'!H41)),MAX(0,'Profit target'!E8-'What-if planner'!H41),"n.a.")</f>
        <v>0</v>
      </c>
      <c r="M12" s="70"/>
      <c r="N12" s="70"/>
      <c r="O12" s="70"/>
      <c r="P12" s="2"/>
    </row>
    <row r="13" spans="1:16" ht="14.1" customHeight="1">
      <c r="A13" s="2"/>
      <c r="B13" s="70"/>
      <c r="C13" s="70"/>
      <c r="D13" s="70"/>
      <c r="E13" s="70"/>
      <c r="F13" s="2"/>
      <c r="G13" s="70"/>
      <c r="H13" s="70"/>
      <c r="I13" s="70"/>
      <c r="J13" s="70"/>
      <c r="K13" s="2"/>
      <c r="L13" s="70"/>
      <c r="M13" s="70"/>
      <c r="N13" s="70"/>
      <c r="O13" s="70"/>
      <c r="P13" s="2"/>
    </row>
    <row r="14" spans="1:16" ht="14.1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14.1" customHeight="1">
      <c r="A15" s="2"/>
      <c r="B15" s="47" t="s">
        <v>81</v>
      </c>
      <c r="C15" s="47" t="s">
        <v>81</v>
      </c>
      <c r="D15" s="47" t="s">
        <v>81</v>
      </c>
      <c r="E15" s="47" t="s">
        <v>81</v>
      </c>
      <c r="F15" s="47" t="s">
        <v>81</v>
      </c>
      <c r="G15" s="47" t="s">
        <v>81</v>
      </c>
      <c r="H15" s="47" t="s">
        <v>81</v>
      </c>
      <c r="I15" s="47" t="s">
        <v>81</v>
      </c>
      <c r="J15" s="47" t="s">
        <v>81</v>
      </c>
      <c r="K15" s="47" t="s">
        <v>81</v>
      </c>
      <c r="L15" s="47" t="s">
        <v>81</v>
      </c>
      <c r="M15" s="47" t="s">
        <v>81</v>
      </c>
      <c r="N15" s="47" t="s">
        <v>81</v>
      </c>
      <c r="O15" s="47" t="s">
        <v>81</v>
      </c>
      <c r="P15" s="2"/>
    </row>
    <row r="16" spans="1:16" ht="14.1" customHeight="1">
      <c r="A16" s="2"/>
      <c r="B16" s="47" t="s">
        <v>81</v>
      </c>
      <c r="C16" s="47" t="s">
        <v>81</v>
      </c>
      <c r="D16" s="47" t="s">
        <v>81</v>
      </c>
      <c r="E16" s="47" t="s">
        <v>81</v>
      </c>
      <c r="F16" s="47" t="s">
        <v>81</v>
      </c>
      <c r="G16" s="47" t="s">
        <v>81</v>
      </c>
      <c r="H16" s="47" t="s">
        <v>81</v>
      </c>
      <c r="I16" s="47" t="s">
        <v>81</v>
      </c>
      <c r="J16" s="47" t="s">
        <v>81</v>
      </c>
      <c r="K16" s="47" t="s">
        <v>81</v>
      </c>
      <c r="L16" s="47" t="s">
        <v>81</v>
      </c>
      <c r="M16" s="47" t="s">
        <v>81</v>
      </c>
      <c r="N16" s="47" t="s">
        <v>81</v>
      </c>
      <c r="O16" s="47" t="s">
        <v>81</v>
      </c>
      <c r="P16" s="2"/>
    </row>
    <row r="17" spans="1:16" ht="14.1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14.1" customHeight="1">
      <c r="A18" s="2"/>
      <c r="B18" s="52" t="s">
        <v>82</v>
      </c>
      <c r="C18" s="52" t="s">
        <v>82</v>
      </c>
      <c r="D18" s="52" t="s">
        <v>82</v>
      </c>
      <c r="E18" s="52" t="s">
        <v>82</v>
      </c>
      <c r="F18" s="52" t="s">
        <v>82</v>
      </c>
      <c r="G18" s="52" t="s">
        <v>82</v>
      </c>
      <c r="H18" s="52" t="s">
        <v>82</v>
      </c>
      <c r="I18" s="52" t="s">
        <v>82</v>
      </c>
      <c r="J18" s="52" t="s">
        <v>82</v>
      </c>
      <c r="K18" s="52" t="s">
        <v>82</v>
      </c>
      <c r="L18" s="52" t="s">
        <v>82</v>
      </c>
      <c r="M18" s="52" t="s">
        <v>82</v>
      </c>
      <c r="N18" s="52" t="s">
        <v>82</v>
      </c>
      <c r="O18" s="52" t="s">
        <v>82</v>
      </c>
      <c r="P18" s="2"/>
    </row>
    <row r="19" spans="1:16" ht="14.1" customHeight="1">
      <c r="A19" s="2"/>
      <c r="B19" s="54" t="str">
        <f>Dashboard!B34</f>
        <v>Gross margin fell 5.1 pp. Recovering that share at period revenue illustrates $36,968 before tax. Review pricing, product mix, and direct costs.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2"/>
    </row>
    <row r="20" spans="1:16" ht="14.1" customHeight="1">
      <c r="A20" s="2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2"/>
    </row>
    <row r="21" spans="1:16" ht="14.1" customHeight="1">
      <c r="A21" s="2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2"/>
    </row>
    <row r="22" spans="1:16" ht="14.1" customHeight="1">
      <c r="A22" s="2"/>
      <c r="B22" s="71" t="s">
        <v>83</v>
      </c>
      <c r="C22" s="71" t="s">
        <v>83</v>
      </c>
      <c r="D22" s="71" t="s">
        <v>83</v>
      </c>
      <c r="E22" s="72" t="s">
        <v>84</v>
      </c>
      <c r="F22" s="72" t="s">
        <v>84</v>
      </c>
      <c r="G22" s="72" t="s">
        <v>84</v>
      </c>
      <c r="H22" s="72" t="s">
        <v>84</v>
      </c>
      <c r="I22" s="72" t="s">
        <v>84</v>
      </c>
      <c r="J22" s="72" t="s">
        <v>84</v>
      </c>
      <c r="K22" s="72" t="s">
        <v>84</v>
      </c>
      <c r="L22" s="72" t="s">
        <v>84</v>
      </c>
      <c r="M22" s="72" t="s">
        <v>84</v>
      </c>
      <c r="N22" s="72" t="s">
        <v>84</v>
      </c>
      <c r="O22" s="72" t="s">
        <v>84</v>
      </c>
      <c r="P22" s="2"/>
    </row>
    <row r="23" spans="1:16" ht="14.1" customHeight="1">
      <c r="A23" s="2"/>
      <c r="B23" s="71" t="s">
        <v>83</v>
      </c>
      <c r="C23" s="71" t="s">
        <v>83</v>
      </c>
      <c r="D23" s="71" t="s">
        <v>83</v>
      </c>
      <c r="E23" s="72" t="s">
        <v>84</v>
      </c>
      <c r="F23" s="72" t="s">
        <v>84</v>
      </c>
      <c r="G23" s="72" t="s">
        <v>84</v>
      </c>
      <c r="H23" s="72" t="s">
        <v>84</v>
      </c>
      <c r="I23" s="72" t="s">
        <v>84</v>
      </c>
      <c r="J23" s="72" t="s">
        <v>84</v>
      </c>
      <c r="K23" s="72" t="s">
        <v>84</v>
      </c>
      <c r="L23" s="72" t="s">
        <v>84</v>
      </c>
      <c r="M23" s="72" t="s">
        <v>84</v>
      </c>
      <c r="N23" s="72" t="s">
        <v>84</v>
      </c>
      <c r="O23" s="72" t="s">
        <v>84</v>
      </c>
      <c r="P23" s="2"/>
    </row>
    <row r="24" spans="1:16" ht="14.1" customHeight="1">
      <c r="A24" s="2"/>
      <c r="B24" s="71" t="s">
        <v>83</v>
      </c>
      <c r="C24" s="71" t="s">
        <v>83</v>
      </c>
      <c r="D24" s="71" t="s">
        <v>83</v>
      </c>
      <c r="E24" s="72" t="s">
        <v>84</v>
      </c>
      <c r="F24" s="72" t="s">
        <v>84</v>
      </c>
      <c r="G24" s="72" t="s">
        <v>84</v>
      </c>
      <c r="H24" s="72" t="s">
        <v>84</v>
      </c>
      <c r="I24" s="72" t="s">
        <v>84</v>
      </c>
      <c r="J24" s="72" t="s">
        <v>84</v>
      </c>
      <c r="K24" s="72" t="s">
        <v>84</v>
      </c>
      <c r="L24" s="72" t="s">
        <v>84</v>
      </c>
      <c r="M24" s="72" t="s">
        <v>84</v>
      </c>
      <c r="N24" s="72" t="s">
        <v>84</v>
      </c>
      <c r="O24" s="72" t="s">
        <v>84</v>
      </c>
      <c r="P24" s="2"/>
    </row>
    <row r="25" spans="1:16" ht="14.1" customHeight="1">
      <c r="A25" s="2"/>
      <c r="B25" s="54" t="s">
        <v>85</v>
      </c>
      <c r="C25" s="54" t="s">
        <v>85</v>
      </c>
      <c r="D25" s="54" t="s">
        <v>85</v>
      </c>
      <c r="E25" s="73" t="s">
        <v>86</v>
      </c>
      <c r="F25" s="73" t="s">
        <v>86</v>
      </c>
      <c r="G25" s="73" t="s">
        <v>86</v>
      </c>
      <c r="H25" s="73" t="s">
        <v>86</v>
      </c>
      <c r="I25" s="54" t="s">
        <v>87</v>
      </c>
      <c r="J25" s="54" t="s">
        <v>87</v>
      </c>
      <c r="K25" s="54" t="s">
        <v>87</v>
      </c>
      <c r="L25" s="74">
        <v>46395</v>
      </c>
      <c r="M25" s="74"/>
      <c r="N25" s="74"/>
      <c r="O25" s="74"/>
      <c r="P25" s="2"/>
    </row>
    <row r="26" spans="1:16" ht="14.1" customHeight="1">
      <c r="A26" s="2"/>
      <c r="B26" s="54" t="s">
        <v>88</v>
      </c>
      <c r="C26" s="54" t="s">
        <v>88</v>
      </c>
      <c r="D26" s="54" t="s">
        <v>88</v>
      </c>
      <c r="E26" s="75" t="s">
        <v>89</v>
      </c>
      <c r="F26" s="75" t="s">
        <v>89</v>
      </c>
      <c r="G26" s="75" t="s">
        <v>89</v>
      </c>
      <c r="H26" s="75" t="s">
        <v>89</v>
      </c>
      <c r="I26" s="2"/>
      <c r="J26" s="2"/>
      <c r="K26" s="2"/>
      <c r="L26" s="2"/>
      <c r="M26" s="2"/>
      <c r="N26" s="2"/>
      <c r="O26" s="2"/>
      <c r="P26" s="2"/>
    </row>
    <row r="27" spans="1:16" ht="14.1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14.1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ht="14.1" customHeight="1">
      <c r="A29" s="2"/>
      <c r="B29" s="52" t="s">
        <v>90</v>
      </c>
      <c r="C29" s="52" t="s">
        <v>90</v>
      </c>
      <c r="D29" s="52" t="s">
        <v>90</v>
      </c>
      <c r="E29" s="52" t="s">
        <v>90</v>
      </c>
      <c r="F29" s="52" t="s">
        <v>90</v>
      </c>
      <c r="G29" s="52" t="s">
        <v>90</v>
      </c>
      <c r="H29" s="52" t="s">
        <v>90</v>
      </c>
      <c r="I29" s="52" t="s">
        <v>90</v>
      </c>
      <c r="J29" s="52" t="s">
        <v>90</v>
      </c>
      <c r="K29" s="52" t="s">
        <v>90</v>
      </c>
      <c r="L29" s="52" t="s">
        <v>90</v>
      </c>
      <c r="M29" s="52" t="s">
        <v>90</v>
      </c>
      <c r="N29" s="52" t="s">
        <v>90</v>
      </c>
      <c r="O29" s="52" t="s">
        <v>90</v>
      </c>
      <c r="P29" s="2"/>
    </row>
    <row r="30" spans="1:16" ht="14.1" customHeight="1">
      <c r="A30" s="2"/>
      <c r="B30" s="54" t="str">
        <f>Dashboard!B39</f>
        <v>Repairs &amp; maintenance used a greater revenue share. Returning to its first-month share illustrates $999 at period revenue. Review the expense growth table.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2"/>
    </row>
    <row r="31" spans="1:16" ht="14.1" customHeight="1">
      <c r="A31" s="2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2"/>
    </row>
    <row r="32" spans="1:16" ht="14.1" customHeight="1">
      <c r="A32" s="2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2"/>
    </row>
    <row r="33" spans="1:16" ht="14.1" customHeight="1">
      <c r="A33" s="2"/>
      <c r="B33" s="71" t="s">
        <v>83</v>
      </c>
      <c r="C33" s="71" t="s">
        <v>83</v>
      </c>
      <c r="D33" s="71" t="s">
        <v>83</v>
      </c>
      <c r="E33" s="72" t="s">
        <v>91</v>
      </c>
      <c r="F33" s="72" t="s">
        <v>91</v>
      </c>
      <c r="G33" s="72" t="s">
        <v>91</v>
      </c>
      <c r="H33" s="72" t="s">
        <v>91</v>
      </c>
      <c r="I33" s="72" t="s">
        <v>91</v>
      </c>
      <c r="J33" s="72" t="s">
        <v>91</v>
      </c>
      <c r="K33" s="72" t="s">
        <v>91</v>
      </c>
      <c r="L33" s="72" t="s">
        <v>91</v>
      </c>
      <c r="M33" s="72" t="s">
        <v>91</v>
      </c>
      <c r="N33" s="72" t="s">
        <v>91</v>
      </c>
      <c r="O33" s="72" t="s">
        <v>91</v>
      </c>
      <c r="P33" s="2"/>
    </row>
    <row r="34" spans="1:16" ht="14.1" customHeight="1">
      <c r="A34" s="2"/>
      <c r="B34" s="71" t="s">
        <v>83</v>
      </c>
      <c r="C34" s="71" t="s">
        <v>83</v>
      </c>
      <c r="D34" s="71" t="s">
        <v>83</v>
      </c>
      <c r="E34" s="72" t="s">
        <v>91</v>
      </c>
      <c r="F34" s="72" t="s">
        <v>91</v>
      </c>
      <c r="G34" s="72" t="s">
        <v>91</v>
      </c>
      <c r="H34" s="72" t="s">
        <v>91</v>
      </c>
      <c r="I34" s="72" t="s">
        <v>91</v>
      </c>
      <c r="J34" s="72" t="s">
        <v>91</v>
      </c>
      <c r="K34" s="72" t="s">
        <v>91</v>
      </c>
      <c r="L34" s="72" t="s">
        <v>91</v>
      </c>
      <c r="M34" s="72" t="s">
        <v>91</v>
      </c>
      <c r="N34" s="72" t="s">
        <v>91</v>
      </c>
      <c r="O34" s="72" t="s">
        <v>91</v>
      </c>
      <c r="P34" s="2"/>
    </row>
    <row r="35" spans="1:16" ht="14.1" customHeight="1">
      <c r="A35" s="2"/>
      <c r="B35" s="71" t="s">
        <v>83</v>
      </c>
      <c r="C35" s="71" t="s">
        <v>83</v>
      </c>
      <c r="D35" s="71" t="s">
        <v>83</v>
      </c>
      <c r="E35" s="72" t="s">
        <v>91</v>
      </c>
      <c r="F35" s="72" t="s">
        <v>91</v>
      </c>
      <c r="G35" s="72" t="s">
        <v>91</v>
      </c>
      <c r="H35" s="72" t="s">
        <v>91</v>
      </c>
      <c r="I35" s="72" t="s">
        <v>91</v>
      </c>
      <c r="J35" s="72" t="s">
        <v>91</v>
      </c>
      <c r="K35" s="72" t="s">
        <v>91</v>
      </c>
      <c r="L35" s="72" t="s">
        <v>91</v>
      </c>
      <c r="M35" s="72" t="s">
        <v>91</v>
      </c>
      <c r="N35" s="72" t="s">
        <v>91</v>
      </c>
      <c r="O35" s="72" t="s">
        <v>91</v>
      </c>
      <c r="P35" s="2"/>
    </row>
    <row r="36" spans="1:16" ht="14.1" customHeight="1">
      <c r="A36" s="2"/>
      <c r="B36" s="54" t="s">
        <v>85</v>
      </c>
      <c r="C36" s="54" t="s">
        <v>85</v>
      </c>
      <c r="D36" s="54" t="s">
        <v>85</v>
      </c>
      <c r="E36" s="73" t="s">
        <v>86</v>
      </c>
      <c r="F36" s="73" t="s">
        <v>86</v>
      </c>
      <c r="G36" s="73" t="s">
        <v>86</v>
      </c>
      <c r="H36" s="73" t="s">
        <v>86</v>
      </c>
      <c r="I36" s="54" t="s">
        <v>87</v>
      </c>
      <c r="J36" s="54" t="s">
        <v>87</v>
      </c>
      <c r="K36" s="54" t="s">
        <v>87</v>
      </c>
      <c r="L36" s="74">
        <v>46399</v>
      </c>
      <c r="M36" s="74"/>
      <c r="N36" s="74"/>
      <c r="O36" s="74"/>
      <c r="P36" s="2"/>
    </row>
    <row r="37" spans="1:16" ht="14.1" customHeight="1">
      <c r="A37" s="2"/>
      <c r="B37" s="54" t="s">
        <v>88</v>
      </c>
      <c r="C37" s="54" t="s">
        <v>88</v>
      </c>
      <c r="D37" s="54" t="s">
        <v>88</v>
      </c>
      <c r="E37" s="75" t="s">
        <v>89</v>
      </c>
      <c r="F37" s="75" t="s">
        <v>89</v>
      </c>
      <c r="G37" s="75" t="s">
        <v>89</v>
      </c>
      <c r="H37" s="75" t="s">
        <v>89</v>
      </c>
      <c r="I37" s="2"/>
      <c r="J37" s="2"/>
      <c r="K37" s="2"/>
      <c r="L37" s="2"/>
      <c r="M37" s="2"/>
      <c r="N37" s="2"/>
      <c r="O37" s="2"/>
      <c r="P37" s="2"/>
    </row>
    <row r="38" spans="1:16" ht="14.1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ht="14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 ht="14.1" customHeight="1">
      <c r="A40" s="2"/>
      <c r="B40" s="52" t="s">
        <v>92</v>
      </c>
      <c r="C40" s="52" t="s">
        <v>92</v>
      </c>
      <c r="D40" s="52" t="s">
        <v>92</v>
      </c>
      <c r="E40" s="52" t="s">
        <v>92</v>
      </c>
      <c r="F40" s="52" t="s">
        <v>92</v>
      </c>
      <c r="G40" s="52" t="s">
        <v>92</v>
      </c>
      <c r="H40" s="52" t="s">
        <v>92</v>
      </c>
      <c r="I40" s="52" t="s">
        <v>92</v>
      </c>
      <c r="J40" s="52" t="s">
        <v>92</v>
      </c>
      <c r="K40" s="52" t="s">
        <v>92</v>
      </c>
      <c r="L40" s="52" t="s">
        <v>92</v>
      </c>
      <c r="M40" s="52" t="s">
        <v>92</v>
      </c>
      <c r="N40" s="52" t="s">
        <v>92</v>
      </c>
      <c r="O40" s="52" t="s">
        <v>92</v>
      </c>
      <c r="P40" s="2"/>
    </row>
    <row r="41" spans="1:16" ht="14.1" customHeight="1">
      <c r="A41" s="2"/>
      <c r="B41" s="54" t="str">
        <f>Dashboard!B44</f>
        <v>Recorded profit is $41,040 below your target. Compare price, volume, and cost changes on Profit target. Action plan shows whether the saved scenario reaches the goal.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2"/>
    </row>
    <row r="42" spans="1:16" ht="14.1" customHeight="1">
      <c r="A42" s="2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2"/>
    </row>
    <row r="43" spans="1:16" ht="14.1" customHeight="1">
      <c r="A43" s="2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2"/>
    </row>
    <row r="44" spans="1:16" ht="14.1" customHeight="1">
      <c r="A44" s="2"/>
      <c r="B44" s="71" t="s">
        <v>83</v>
      </c>
      <c r="C44" s="71" t="s">
        <v>83</v>
      </c>
      <c r="D44" s="71" t="s">
        <v>83</v>
      </c>
      <c r="E44" s="72" t="s">
        <v>93</v>
      </c>
      <c r="F44" s="72" t="s">
        <v>93</v>
      </c>
      <c r="G44" s="72" t="s">
        <v>93</v>
      </c>
      <c r="H44" s="72" t="s">
        <v>93</v>
      </c>
      <c r="I44" s="72" t="s">
        <v>93</v>
      </c>
      <c r="J44" s="72" t="s">
        <v>93</v>
      </c>
      <c r="K44" s="72" t="s">
        <v>93</v>
      </c>
      <c r="L44" s="72" t="s">
        <v>93</v>
      </c>
      <c r="M44" s="72" t="s">
        <v>93</v>
      </c>
      <c r="N44" s="72" t="s">
        <v>93</v>
      </c>
      <c r="O44" s="72" t="s">
        <v>93</v>
      </c>
      <c r="P44" s="2"/>
    </row>
    <row r="45" spans="1:16" ht="14.1" customHeight="1">
      <c r="A45" s="2"/>
      <c r="B45" s="71" t="s">
        <v>83</v>
      </c>
      <c r="C45" s="71" t="s">
        <v>83</v>
      </c>
      <c r="D45" s="71" t="s">
        <v>83</v>
      </c>
      <c r="E45" s="72" t="s">
        <v>93</v>
      </c>
      <c r="F45" s="72" t="s">
        <v>93</v>
      </c>
      <c r="G45" s="72" t="s">
        <v>93</v>
      </c>
      <c r="H45" s="72" t="s">
        <v>93</v>
      </c>
      <c r="I45" s="72" t="s">
        <v>93</v>
      </c>
      <c r="J45" s="72" t="s">
        <v>93</v>
      </c>
      <c r="K45" s="72" t="s">
        <v>93</v>
      </c>
      <c r="L45" s="72" t="s">
        <v>93</v>
      </c>
      <c r="M45" s="72" t="s">
        <v>93</v>
      </c>
      <c r="N45" s="72" t="s">
        <v>93</v>
      </c>
      <c r="O45" s="72" t="s">
        <v>93</v>
      </c>
      <c r="P45" s="2"/>
    </row>
    <row r="46" spans="1:16" ht="14.1" customHeight="1">
      <c r="A46" s="2"/>
      <c r="B46" s="71" t="s">
        <v>83</v>
      </c>
      <c r="C46" s="71" t="s">
        <v>83</v>
      </c>
      <c r="D46" s="71" t="s">
        <v>83</v>
      </c>
      <c r="E46" s="72" t="s">
        <v>93</v>
      </c>
      <c r="F46" s="72" t="s">
        <v>93</v>
      </c>
      <c r="G46" s="72" t="s">
        <v>93</v>
      </c>
      <c r="H46" s="72" t="s">
        <v>93</v>
      </c>
      <c r="I46" s="72" t="s">
        <v>93</v>
      </c>
      <c r="J46" s="72" t="s">
        <v>93</v>
      </c>
      <c r="K46" s="72" t="s">
        <v>93</v>
      </c>
      <c r="L46" s="72" t="s">
        <v>93</v>
      </c>
      <c r="M46" s="72" t="s">
        <v>93</v>
      </c>
      <c r="N46" s="72" t="s">
        <v>93</v>
      </c>
      <c r="O46" s="72" t="s">
        <v>93</v>
      </c>
      <c r="P46" s="2"/>
    </row>
    <row r="47" spans="1:16" ht="14.1" customHeight="1">
      <c r="A47" s="2"/>
      <c r="B47" s="54" t="s">
        <v>85</v>
      </c>
      <c r="C47" s="54" t="s">
        <v>85</v>
      </c>
      <c r="D47" s="54" t="s">
        <v>85</v>
      </c>
      <c r="E47" s="73" t="s">
        <v>86</v>
      </c>
      <c r="F47" s="73" t="s">
        <v>86</v>
      </c>
      <c r="G47" s="73" t="s">
        <v>86</v>
      </c>
      <c r="H47" s="73" t="s">
        <v>86</v>
      </c>
      <c r="I47" s="54" t="s">
        <v>87</v>
      </c>
      <c r="J47" s="54" t="s">
        <v>87</v>
      </c>
      <c r="K47" s="54" t="s">
        <v>87</v>
      </c>
      <c r="L47" s="74">
        <v>46402</v>
      </c>
      <c r="M47" s="74"/>
      <c r="N47" s="74"/>
      <c r="O47" s="74"/>
      <c r="P47" s="2"/>
    </row>
    <row r="48" spans="1:16" ht="14.1" customHeight="1">
      <c r="A48" s="2"/>
      <c r="B48" s="54" t="s">
        <v>88</v>
      </c>
      <c r="C48" s="54" t="s">
        <v>88</v>
      </c>
      <c r="D48" s="54" t="s">
        <v>88</v>
      </c>
      <c r="E48" s="75" t="s">
        <v>89</v>
      </c>
      <c r="F48" s="75" t="s">
        <v>89</v>
      </c>
      <c r="G48" s="75" t="s">
        <v>89</v>
      </c>
      <c r="H48" s="75" t="s">
        <v>89</v>
      </c>
      <c r="I48" s="2"/>
      <c r="J48" s="2"/>
      <c r="K48" s="2"/>
      <c r="L48" s="2"/>
      <c r="M48" s="2"/>
      <c r="N48" s="2"/>
      <c r="O48" s="2"/>
      <c r="P48" s="2"/>
    </row>
    <row r="49" spans="1:16" ht="14.1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ht="14.1" customHeight="1">
      <c r="A50" s="2"/>
      <c r="B50" s="47" t="s">
        <v>94</v>
      </c>
      <c r="C50" s="47" t="s">
        <v>94</v>
      </c>
      <c r="D50" s="47" t="s">
        <v>94</v>
      </c>
      <c r="E50" s="47" t="s">
        <v>94</v>
      </c>
      <c r="F50" s="47" t="s">
        <v>94</v>
      </c>
      <c r="G50" s="47" t="s">
        <v>94</v>
      </c>
      <c r="H50" s="47" t="s">
        <v>94</v>
      </c>
      <c r="I50" s="47" t="s">
        <v>94</v>
      </c>
      <c r="J50" s="47" t="s">
        <v>94</v>
      </c>
      <c r="K50" s="47" t="s">
        <v>94</v>
      </c>
      <c r="L50" s="47" t="s">
        <v>94</v>
      </c>
      <c r="M50" s="47" t="s">
        <v>94</v>
      </c>
      <c r="N50" s="47" t="s">
        <v>94</v>
      </c>
      <c r="O50" s="47" t="s">
        <v>94</v>
      </c>
      <c r="P50" s="2"/>
    </row>
    <row r="51" spans="1:16" ht="14.1" customHeight="1">
      <c r="A51" s="2"/>
      <c r="B51" s="47" t="s">
        <v>94</v>
      </c>
      <c r="C51" s="47" t="s">
        <v>94</v>
      </c>
      <c r="D51" s="47" t="s">
        <v>94</v>
      </c>
      <c r="E51" s="47" t="s">
        <v>94</v>
      </c>
      <c r="F51" s="47" t="s">
        <v>94</v>
      </c>
      <c r="G51" s="47" t="s">
        <v>94</v>
      </c>
      <c r="H51" s="47" t="s">
        <v>94</v>
      </c>
      <c r="I51" s="47" t="s">
        <v>94</v>
      </c>
      <c r="J51" s="47" t="s">
        <v>94</v>
      </c>
      <c r="K51" s="47" t="s">
        <v>94</v>
      </c>
      <c r="L51" s="47" t="s">
        <v>94</v>
      </c>
      <c r="M51" s="47" t="s">
        <v>94</v>
      </c>
      <c r="N51" s="47" t="s">
        <v>94</v>
      </c>
      <c r="O51" s="47" t="s">
        <v>94</v>
      </c>
      <c r="P51" s="2"/>
    </row>
    <row r="52" spans="1:16" ht="14.1" customHeight="1">
      <c r="A52" s="2"/>
      <c r="B52" s="58" t="s">
        <v>95</v>
      </c>
      <c r="C52" s="58" t="s">
        <v>95</v>
      </c>
      <c r="D52" s="58" t="s">
        <v>95</v>
      </c>
      <c r="E52" s="58" t="s">
        <v>95</v>
      </c>
      <c r="F52" s="58" t="s">
        <v>95</v>
      </c>
      <c r="G52" s="58" t="s">
        <v>95</v>
      </c>
      <c r="H52" s="58" t="s">
        <v>95</v>
      </c>
      <c r="I52" s="58" t="s">
        <v>95</v>
      </c>
      <c r="J52" s="58" t="s">
        <v>95</v>
      </c>
      <c r="K52" s="58" t="s">
        <v>95</v>
      </c>
      <c r="L52" s="58" t="s">
        <v>95</v>
      </c>
      <c r="M52" s="58" t="s">
        <v>95</v>
      </c>
      <c r="N52" s="58" t="s">
        <v>95</v>
      </c>
      <c r="O52" s="58" t="s">
        <v>95</v>
      </c>
      <c r="P52" s="2"/>
    </row>
    <row r="53" spans="1:16" ht="14.1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 ht="14.1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</sheetData>
  <sheetProtection sheet="1" objects="1" scenarios="1"/>
  <mergeCells count="43">
    <mergeCell ref="B50:O51"/>
    <mergeCell ref="B52:O52"/>
    <mergeCell ref="B47:D47"/>
    <mergeCell ref="E47:H47"/>
    <mergeCell ref="I47:K47"/>
    <mergeCell ref="L47:O47"/>
    <mergeCell ref="B48:D48"/>
    <mergeCell ref="E48:H48"/>
    <mergeCell ref="B37:D37"/>
    <mergeCell ref="E37:H37"/>
    <mergeCell ref="B40:O40"/>
    <mergeCell ref="B41:O43"/>
    <mergeCell ref="B44:D46"/>
    <mergeCell ref="E44:O46"/>
    <mergeCell ref="B29:O29"/>
    <mergeCell ref="B30:O32"/>
    <mergeCell ref="B33:D35"/>
    <mergeCell ref="E33:O35"/>
    <mergeCell ref="B36:D36"/>
    <mergeCell ref="E36:H36"/>
    <mergeCell ref="I36:K36"/>
    <mergeCell ref="L36:O36"/>
    <mergeCell ref="B25:D25"/>
    <mergeCell ref="E25:H25"/>
    <mergeCell ref="I25:K25"/>
    <mergeCell ref="L25:O25"/>
    <mergeCell ref="B26:D26"/>
    <mergeCell ref="E26:H26"/>
    <mergeCell ref="B15:O16"/>
    <mergeCell ref="B18:O18"/>
    <mergeCell ref="B19:O21"/>
    <mergeCell ref="B22:D24"/>
    <mergeCell ref="E22:O24"/>
    <mergeCell ref="B12:E13"/>
    <mergeCell ref="G11:J11"/>
    <mergeCell ref="G12:J13"/>
    <mergeCell ref="L11:O11"/>
    <mergeCell ref="L12:O13"/>
    <mergeCell ref="B2:O2"/>
    <mergeCell ref="B4:O5"/>
    <mergeCell ref="B6:O6"/>
    <mergeCell ref="B8:O9"/>
    <mergeCell ref="B11:E11"/>
  </mergeCells>
  <dataValidations count="1">
    <dataValidation type="list" showErrorMessage="1" errorTitle="Check this input" error="Use a number within the permitted range. Enter 0 when the category does not apply." sqref="E26:H26 E48:H48 E37:H37" xr:uid="{00000000-0002-0000-0300-000000000000}">
      <formula1>"Not started,In progress,Done,Deferred"</formula1>
    </dataValidation>
  </dataValidations>
  <hyperlinks>
    <hyperlink ref="B52" location="'What-if planner'!E11" display="Review the saved assumptions on What-if planner" xr:uid="{00000000-0004-0000-0300-000000000000}"/>
  </hyperlinks>
  <pageMargins left="0.3" right="0.3" top="0.3" bottom="0.3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89296"/>
    <pageSetUpPr fitToPage="1"/>
  </sheetPr>
  <dimension ref="A1:P49"/>
  <sheetViews>
    <sheetView showGridLines="0" zoomScale="85" workbookViewId="0"/>
  </sheetViews>
  <sheetFormatPr defaultRowHeight="14.25"/>
  <cols>
    <col min="1" max="1" width="3" customWidth="1"/>
    <col min="2" max="16" width="9" customWidth="1"/>
  </cols>
  <sheetData>
    <row r="1" spans="1:16" ht="21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1.95" customHeight="1">
      <c r="A2" s="2"/>
      <c r="B2" s="44" t="s">
        <v>2</v>
      </c>
      <c r="C2" s="44" t="s">
        <v>2</v>
      </c>
      <c r="D2" s="44" t="s">
        <v>2</v>
      </c>
      <c r="E2" s="44" t="s">
        <v>2</v>
      </c>
      <c r="F2" s="44" t="s">
        <v>2</v>
      </c>
      <c r="G2" s="44" t="s">
        <v>2</v>
      </c>
      <c r="H2" s="44" t="s">
        <v>2</v>
      </c>
      <c r="I2" s="44" t="s">
        <v>2</v>
      </c>
      <c r="J2" s="44" t="s">
        <v>2</v>
      </c>
      <c r="K2" s="44" t="s">
        <v>2</v>
      </c>
      <c r="L2" s="44" t="s">
        <v>2</v>
      </c>
      <c r="M2" s="44" t="s">
        <v>2</v>
      </c>
      <c r="N2" s="44" t="s">
        <v>2</v>
      </c>
      <c r="O2" s="44" t="s">
        <v>2</v>
      </c>
      <c r="P2" s="2"/>
    </row>
    <row r="3" spans="1:16" ht="21.9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21.95" customHeight="1">
      <c r="A4" s="2"/>
      <c r="B4" s="45" t="s">
        <v>96</v>
      </c>
      <c r="C4" s="45" t="s">
        <v>96</v>
      </c>
      <c r="D4" s="45" t="s">
        <v>96</v>
      </c>
      <c r="E4" s="45" t="s">
        <v>96</v>
      </c>
      <c r="F4" s="45" t="s">
        <v>96</v>
      </c>
      <c r="G4" s="45" t="s">
        <v>96</v>
      </c>
      <c r="H4" s="45" t="s">
        <v>96</v>
      </c>
      <c r="I4" s="45" t="s">
        <v>96</v>
      </c>
      <c r="J4" s="45" t="s">
        <v>96</v>
      </c>
      <c r="K4" s="45" t="s">
        <v>96</v>
      </c>
      <c r="L4" s="45" t="s">
        <v>96</v>
      </c>
      <c r="M4" s="45" t="s">
        <v>96</v>
      </c>
      <c r="N4" s="45" t="s">
        <v>96</v>
      </c>
      <c r="O4" s="45" t="s">
        <v>96</v>
      </c>
      <c r="P4" s="2"/>
    </row>
    <row r="5" spans="1:16" ht="21.95" customHeight="1">
      <c r="A5" s="2"/>
      <c r="B5" s="45" t="s">
        <v>96</v>
      </c>
      <c r="C5" s="45" t="s">
        <v>96</v>
      </c>
      <c r="D5" s="45" t="s">
        <v>96</v>
      </c>
      <c r="E5" s="45" t="s">
        <v>96</v>
      </c>
      <c r="F5" s="45" t="s">
        <v>96</v>
      </c>
      <c r="G5" s="45" t="s">
        <v>96</v>
      </c>
      <c r="H5" s="45" t="s">
        <v>96</v>
      </c>
      <c r="I5" s="45" t="s">
        <v>96</v>
      </c>
      <c r="J5" s="45" t="s">
        <v>96</v>
      </c>
      <c r="K5" s="45" t="s">
        <v>96</v>
      </c>
      <c r="L5" s="45" t="s">
        <v>96</v>
      </c>
      <c r="M5" s="45" t="s">
        <v>96</v>
      </c>
      <c r="N5" s="45" t="s">
        <v>96</v>
      </c>
      <c r="O5" s="45" t="s">
        <v>96</v>
      </c>
      <c r="P5" s="2"/>
    </row>
    <row r="6" spans="1:16" ht="21.95" customHeight="1">
      <c r="A6" s="2"/>
      <c r="B6" s="46" t="s">
        <v>4</v>
      </c>
      <c r="C6" s="46" t="s">
        <v>4</v>
      </c>
      <c r="D6" s="46" t="s">
        <v>4</v>
      </c>
      <c r="E6" s="46" t="s">
        <v>4</v>
      </c>
      <c r="F6" s="46" t="s">
        <v>4</v>
      </c>
      <c r="G6" s="46" t="s">
        <v>4</v>
      </c>
      <c r="H6" s="46" t="s">
        <v>4</v>
      </c>
      <c r="I6" s="46" t="s">
        <v>4</v>
      </c>
      <c r="J6" s="46" t="s">
        <v>4</v>
      </c>
      <c r="K6" s="46" t="s">
        <v>4</v>
      </c>
      <c r="L6" s="46" t="s">
        <v>4</v>
      </c>
      <c r="M6" s="46" t="s">
        <v>4</v>
      </c>
      <c r="N6" s="46" t="s">
        <v>4</v>
      </c>
      <c r="O6" s="46" t="s">
        <v>4</v>
      </c>
      <c r="P6" s="2"/>
    </row>
    <row r="7" spans="1:16" ht="21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24.95" customHeight="1">
      <c r="A8" s="2"/>
      <c r="B8" s="71" t="s">
        <v>97</v>
      </c>
      <c r="C8" s="71" t="s">
        <v>97</v>
      </c>
      <c r="D8" s="71" t="s">
        <v>97</v>
      </c>
      <c r="E8" s="76">
        <v>46388</v>
      </c>
      <c r="F8" s="76"/>
      <c r="G8" s="76"/>
      <c r="H8" s="2"/>
      <c r="I8" s="71" t="s">
        <v>98</v>
      </c>
      <c r="J8" s="71" t="s">
        <v>98</v>
      </c>
      <c r="K8" s="77">
        <v>3</v>
      </c>
      <c r="L8" s="77"/>
      <c r="M8" s="77"/>
      <c r="N8" s="2"/>
      <c r="O8" s="2"/>
      <c r="P8" s="2"/>
    </row>
    <row r="9" spans="1:16" ht="24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24.95" customHeight="1">
      <c r="A10" s="2"/>
      <c r="B10" s="71" t="s">
        <v>99</v>
      </c>
      <c r="C10" s="71" t="s">
        <v>99</v>
      </c>
      <c r="D10" s="71" t="s">
        <v>99</v>
      </c>
      <c r="E10" s="78">
        <v>25000</v>
      </c>
      <c r="F10" s="78"/>
      <c r="G10" s="78"/>
      <c r="H10" s="2"/>
      <c r="I10" s="71" t="s">
        <v>100</v>
      </c>
      <c r="J10" s="71" t="s">
        <v>100</v>
      </c>
      <c r="K10" s="78">
        <v>10000</v>
      </c>
      <c r="L10" s="78"/>
      <c r="M10" s="78"/>
      <c r="N10" s="2"/>
      <c r="O10" s="2"/>
      <c r="P10" s="2"/>
    </row>
    <row r="11" spans="1:16" ht="21.9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21.95" customHeight="1">
      <c r="A12" s="2"/>
      <c r="B12" s="47" t="s">
        <v>101</v>
      </c>
      <c r="C12" s="47" t="s">
        <v>101</v>
      </c>
      <c r="D12" s="47" t="s">
        <v>101</v>
      </c>
      <c r="E12" s="47" t="s">
        <v>101</v>
      </c>
      <c r="F12" s="47" t="s">
        <v>101</v>
      </c>
      <c r="G12" s="47" t="s">
        <v>101</v>
      </c>
      <c r="H12" s="47" t="s">
        <v>101</v>
      </c>
      <c r="I12" s="47" t="s">
        <v>101</v>
      </c>
      <c r="J12" s="47" t="s">
        <v>101</v>
      </c>
      <c r="K12" s="47" t="s">
        <v>101</v>
      </c>
      <c r="L12" s="47" t="s">
        <v>101</v>
      </c>
      <c r="M12" s="47" t="s">
        <v>101</v>
      </c>
      <c r="N12" s="2"/>
      <c r="O12" s="2"/>
      <c r="P12" s="2"/>
    </row>
    <row r="13" spans="1:16" ht="21.95" customHeight="1">
      <c r="A13" s="2"/>
      <c r="B13" s="47" t="s">
        <v>101</v>
      </c>
      <c r="C13" s="47" t="s">
        <v>101</v>
      </c>
      <c r="D13" s="47" t="s">
        <v>101</v>
      </c>
      <c r="E13" s="47" t="s">
        <v>101</v>
      </c>
      <c r="F13" s="47" t="s">
        <v>101</v>
      </c>
      <c r="G13" s="47" t="s">
        <v>101</v>
      </c>
      <c r="H13" s="47" t="s">
        <v>101</v>
      </c>
      <c r="I13" s="47" t="s">
        <v>101</v>
      </c>
      <c r="J13" s="47" t="s">
        <v>101</v>
      </c>
      <c r="K13" s="47" t="s">
        <v>101</v>
      </c>
      <c r="L13" s="47" t="s">
        <v>101</v>
      </c>
      <c r="M13" s="47" t="s">
        <v>101</v>
      </c>
      <c r="N13" s="2"/>
      <c r="O13" s="2"/>
      <c r="P13" s="2"/>
    </row>
    <row r="14" spans="1:16" ht="30.95" customHeight="1">
      <c r="A14" s="2"/>
      <c r="B14" s="53" t="s">
        <v>102</v>
      </c>
      <c r="C14" s="53" t="s">
        <v>102</v>
      </c>
      <c r="D14" s="53" t="s">
        <v>102</v>
      </c>
      <c r="E14" s="79">
        <f>IF(ISNUMBER($E$8),DATE(YEAR($E$8),MONTH($E$8)+0,1),"")</f>
        <v>46388</v>
      </c>
      <c r="F14" s="53"/>
      <c r="G14" s="53"/>
      <c r="H14" s="79">
        <f>IF(ISNUMBER($E$8),DATE(YEAR($E$8),MONTH($E$8)+1,1),"")</f>
        <v>46419</v>
      </c>
      <c r="I14" s="53"/>
      <c r="J14" s="53"/>
      <c r="K14" s="79">
        <f>IF(ISNUMBER($E$8),DATE(YEAR($E$8),MONTH($E$8)+2,1),"")</f>
        <v>46447</v>
      </c>
      <c r="L14" s="53"/>
      <c r="M14" s="53"/>
      <c r="N14" s="2"/>
      <c r="O14" s="2"/>
      <c r="P14" s="2"/>
    </row>
    <row r="15" spans="1:16" ht="21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21.95" customHeight="1">
      <c r="A16" s="2"/>
      <c r="B16" s="54" t="s">
        <v>103</v>
      </c>
      <c r="C16" s="54" t="s">
        <v>103</v>
      </c>
      <c r="D16" s="54" t="s">
        <v>103</v>
      </c>
      <c r="E16" s="80">
        <f>IF(AND(AND(ISNUMBER($E$8),$E$8&gt;0,ISNUMBER($K$8),$K$8&gt;=1,$K$8&lt;=3,MOD($K$8,1)=0),1&lt;=$K$8),IF(ISNUMBER($E$10),$E$10,""),"")</f>
        <v>25000</v>
      </c>
      <c r="F16" s="81"/>
      <c r="G16" s="81"/>
      <c r="H16" s="80">
        <f>IF(AND(AND(ISNUMBER($E$8),$E$8&gt;0,ISNUMBER($K$8),$K$8&gt;=1,$K$8&lt;=3,MOD($K$8,1)=0),2&lt;=$K$8),IF(ISNUMBER(E35),E35,""),"")</f>
        <v>19400</v>
      </c>
      <c r="I16" s="81"/>
      <c r="J16" s="81"/>
      <c r="K16" s="80">
        <f>IF(AND(AND(ISNUMBER($E$8),$E$8&gt;0,ISNUMBER($K$8),$K$8&gt;=1,$K$8&lt;=3,MOD($K$8,1)=0),3&lt;=$K$8),IF(ISNUMBER(H35),H35,""),"")</f>
        <v>9800</v>
      </c>
      <c r="L16" s="81"/>
      <c r="M16" s="81"/>
      <c r="N16" s="2"/>
      <c r="O16" s="2"/>
      <c r="P16" s="2"/>
    </row>
    <row r="17" spans="1:16" ht="21.9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21.95" customHeight="1">
      <c r="A18" s="2"/>
      <c r="B18" s="54" t="s">
        <v>104</v>
      </c>
      <c r="C18" s="54" t="s">
        <v>104</v>
      </c>
      <c r="D18" s="54" t="s">
        <v>104</v>
      </c>
      <c r="E18" s="82">
        <v>50000</v>
      </c>
      <c r="F18" s="82"/>
      <c r="G18" s="82"/>
      <c r="H18" s="82">
        <v>45000</v>
      </c>
      <c r="I18" s="82"/>
      <c r="J18" s="82"/>
      <c r="K18" s="82">
        <v>60000</v>
      </c>
      <c r="L18" s="82"/>
      <c r="M18" s="82"/>
      <c r="N18" s="2"/>
      <c r="O18" s="2"/>
      <c r="P18" s="2"/>
    </row>
    <row r="19" spans="1:16" ht="21.95" customHeight="1">
      <c r="A19" s="2"/>
      <c r="B19" s="54" t="s">
        <v>105</v>
      </c>
      <c r="C19" s="54" t="s">
        <v>105</v>
      </c>
      <c r="D19" s="54" t="s">
        <v>105</v>
      </c>
      <c r="E19" s="82">
        <v>0</v>
      </c>
      <c r="F19" s="82"/>
      <c r="G19" s="82"/>
      <c r="H19" s="82">
        <v>0</v>
      </c>
      <c r="I19" s="82"/>
      <c r="J19" s="82"/>
      <c r="K19" s="82">
        <v>0</v>
      </c>
      <c r="L19" s="82"/>
      <c r="M19" s="82"/>
      <c r="N19" s="2"/>
      <c r="O19" s="2"/>
      <c r="P19" s="2"/>
    </row>
    <row r="20" spans="1:16" ht="21.95" customHeight="1">
      <c r="A20" s="2"/>
      <c r="B20" s="54" t="s">
        <v>106</v>
      </c>
      <c r="C20" s="54" t="s">
        <v>106</v>
      </c>
      <c r="D20" s="54" t="s">
        <v>106</v>
      </c>
      <c r="E20" s="82">
        <v>0</v>
      </c>
      <c r="F20" s="82"/>
      <c r="G20" s="82"/>
      <c r="H20" s="82">
        <v>0</v>
      </c>
      <c r="I20" s="82"/>
      <c r="J20" s="82"/>
      <c r="K20" s="82">
        <v>0</v>
      </c>
      <c r="L20" s="82"/>
      <c r="M20" s="82"/>
      <c r="N20" s="2"/>
      <c r="O20" s="2"/>
      <c r="P20" s="2"/>
    </row>
    <row r="21" spans="1:16" ht="21.95" customHeight="1">
      <c r="A21" s="2"/>
      <c r="B21" s="66" t="s">
        <v>107</v>
      </c>
      <c r="C21" s="66" t="s">
        <v>107</v>
      </c>
      <c r="D21" s="66" t="s">
        <v>107</v>
      </c>
      <c r="E21" s="83">
        <f>IF(AND(AND(ISNUMBER($E$8),$E$8&gt;0,ISNUMBER($K$8),$K$8&gt;=1,$K$8&lt;=3,MOD($K$8,1)=0),1&lt;=$K$8),IF(COUNT(E18,E19,E20)=3,SUM(E18,E19,E20),""),"")</f>
        <v>50000</v>
      </c>
      <c r="F21" s="84"/>
      <c r="G21" s="84"/>
      <c r="H21" s="83">
        <f>IF(AND(AND(ISNUMBER($E$8),$E$8&gt;0,ISNUMBER($K$8),$K$8&gt;=1,$K$8&lt;=3,MOD($K$8,1)=0),2&lt;=$K$8),IF(COUNT(H18,H19,H20)=3,SUM(H18,H19,H20),""),"")</f>
        <v>45000</v>
      </c>
      <c r="I21" s="84"/>
      <c r="J21" s="84"/>
      <c r="K21" s="83">
        <f>IF(AND(AND(ISNUMBER($E$8),$E$8&gt;0,ISNUMBER($K$8),$K$8&gt;=1,$K$8&lt;=3,MOD($K$8,1)=0),3&lt;=$K$8),IF(COUNT(K18,K19,K20)=3,SUM(K18,K19,K20),""),"")</f>
        <v>60000</v>
      </c>
      <c r="L21" s="84"/>
      <c r="M21" s="84"/>
      <c r="N21" s="2"/>
      <c r="O21" s="2"/>
      <c r="P21" s="2"/>
    </row>
    <row r="22" spans="1:16" ht="21.9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21.95" customHeight="1">
      <c r="A23" s="2"/>
      <c r="B23" s="54" t="s">
        <v>108</v>
      </c>
      <c r="C23" s="54" t="s">
        <v>108</v>
      </c>
      <c r="D23" s="54" t="s">
        <v>108</v>
      </c>
      <c r="E23" s="82">
        <v>20000</v>
      </c>
      <c r="F23" s="82"/>
      <c r="G23" s="82"/>
      <c r="H23" s="82">
        <v>20000</v>
      </c>
      <c r="I23" s="82"/>
      <c r="J23" s="82"/>
      <c r="K23" s="82">
        <v>20000</v>
      </c>
      <c r="L23" s="82"/>
      <c r="M23" s="82"/>
      <c r="N23" s="2"/>
      <c r="O23" s="2"/>
      <c r="P23" s="2"/>
    </row>
    <row r="24" spans="1:16" ht="21.95" customHeight="1">
      <c r="A24" s="2"/>
      <c r="B24" s="54" t="s">
        <v>109</v>
      </c>
      <c r="C24" s="54" t="s">
        <v>109</v>
      </c>
      <c r="D24" s="54" t="s">
        <v>109</v>
      </c>
      <c r="E24" s="82">
        <v>17000</v>
      </c>
      <c r="F24" s="82"/>
      <c r="G24" s="82"/>
      <c r="H24" s="82">
        <v>17000</v>
      </c>
      <c r="I24" s="82"/>
      <c r="J24" s="82"/>
      <c r="K24" s="82">
        <v>17000</v>
      </c>
      <c r="L24" s="82"/>
      <c r="M24" s="82"/>
      <c r="N24" s="2"/>
      <c r="O24" s="2"/>
      <c r="P24" s="2"/>
    </row>
    <row r="25" spans="1:16" ht="21.95" customHeight="1">
      <c r="A25" s="2"/>
      <c r="B25" s="54" t="s">
        <v>110</v>
      </c>
      <c r="C25" s="54" t="s">
        <v>110</v>
      </c>
      <c r="D25" s="54" t="s">
        <v>110</v>
      </c>
      <c r="E25" s="82">
        <v>3800</v>
      </c>
      <c r="F25" s="82"/>
      <c r="G25" s="82"/>
      <c r="H25" s="82">
        <v>3800</v>
      </c>
      <c r="I25" s="82"/>
      <c r="J25" s="82"/>
      <c r="K25" s="82">
        <v>3800</v>
      </c>
      <c r="L25" s="82"/>
      <c r="M25" s="82"/>
      <c r="N25" s="2"/>
      <c r="O25" s="2"/>
      <c r="P25" s="2"/>
    </row>
    <row r="26" spans="1:16" ht="21.95" customHeight="1">
      <c r="A26" s="2"/>
      <c r="B26" s="54" t="s">
        <v>111</v>
      </c>
      <c r="C26" s="54" t="s">
        <v>111</v>
      </c>
      <c r="D26" s="54" t="s">
        <v>111</v>
      </c>
      <c r="E26" s="82">
        <v>1000</v>
      </c>
      <c r="F26" s="82"/>
      <c r="G26" s="82"/>
      <c r="H26" s="82">
        <v>1000</v>
      </c>
      <c r="I26" s="82"/>
      <c r="J26" s="82"/>
      <c r="K26" s="82">
        <v>1000</v>
      </c>
      <c r="L26" s="82"/>
      <c r="M26" s="82"/>
      <c r="N26" s="2"/>
      <c r="O26" s="2"/>
      <c r="P26" s="2"/>
    </row>
    <row r="27" spans="1:16" ht="21.95" customHeight="1">
      <c r="A27" s="2"/>
      <c r="B27" s="54" t="s">
        <v>112</v>
      </c>
      <c r="C27" s="54" t="s">
        <v>112</v>
      </c>
      <c r="D27" s="54" t="s">
        <v>112</v>
      </c>
      <c r="E27" s="82">
        <v>3500</v>
      </c>
      <c r="F27" s="82"/>
      <c r="G27" s="82"/>
      <c r="H27" s="82">
        <v>3500</v>
      </c>
      <c r="I27" s="82"/>
      <c r="J27" s="82"/>
      <c r="K27" s="82">
        <v>3500</v>
      </c>
      <c r="L27" s="82"/>
      <c r="M27" s="82"/>
      <c r="N27" s="2"/>
      <c r="O27" s="2"/>
      <c r="P27" s="2"/>
    </row>
    <row r="28" spans="1:16" ht="21.95" customHeight="1">
      <c r="A28" s="2"/>
      <c r="B28" s="54" t="s">
        <v>113</v>
      </c>
      <c r="C28" s="54" t="s">
        <v>113</v>
      </c>
      <c r="D28" s="54" t="s">
        <v>113</v>
      </c>
      <c r="E28" s="82">
        <v>1800</v>
      </c>
      <c r="F28" s="82"/>
      <c r="G28" s="82"/>
      <c r="H28" s="82">
        <v>1800</v>
      </c>
      <c r="I28" s="82"/>
      <c r="J28" s="82"/>
      <c r="K28" s="82">
        <v>1800</v>
      </c>
      <c r="L28" s="82"/>
      <c r="M28" s="82"/>
      <c r="N28" s="2"/>
      <c r="O28" s="2"/>
      <c r="P28" s="2"/>
    </row>
    <row r="29" spans="1:16" ht="21.95" customHeight="1">
      <c r="A29" s="2"/>
      <c r="B29" s="54" t="s">
        <v>114</v>
      </c>
      <c r="C29" s="54" t="s">
        <v>114</v>
      </c>
      <c r="D29" s="54" t="s">
        <v>114</v>
      </c>
      <c r="E29" s="82">
        <v>2000</v>
      </c>
      <c r="F29" s="82"/>
      <c r="G29" s="82"/>
      <c r="H29" s="82">
        <v>6000</v>
      </c>
      <c r="I29" s="82"/>
      <c r="J29" s="82"/>
      <c r="K29" s="82">
        <v>2500</v>
      </c>
      <c r="L29" s="82"/>
      <c r="M29" s="82"/>
      <c r="N29" s="2"/>
      <c r="O29" s="2"/>
      <c r="P29" s="2"/>
    </row>
    <row r="30" spans="1:16" ht="21.95" customHeight="1">
      <c r="A30" s="2"/>
      <c r="B30" s="54" t="s">
        <v>115</v>
      </c>
      <c r="C30" s="54" t="s">
        <v>115</v>
      </c>
      <c r="D30" s="54" t="s">
        <v>115</v>
      </c>
      <c r="E30" s="82">
        <v>5000</v>
      </c>
      <c r="F30" s="82"/>
      <c r="G30" s="82"/>
      <c r="H30" s="82">
        <v>0</v>
      </c>
      <c r="I30" s="82"/>
      <c r="J30" s="82"/>
      <c r="K30" s="82">
        <v>2000</v>
      </c>
      <c r="L30" s="82"/>
      <c r="M30" s="82"/>
      <c r="N30" s="2"/>
      <c r="O30" s="2"/>
      <c r="P30" s="2"/>
    </row>
    <row r="31" spans="1:16" ht="21.95" customHeight="1">
      <c r="A31" s="2"/>
      <c r="B31" s="54" t="s">
        <v>116</v>
      </c>
      <c r="C31" s="54" t="s">
        <v>116</v>
      </c>
      <c r="D31" s="54" t="s">
        <v>116</v>
      </c>
      <c r="E31" s="82">
        <v>1500</v>
      </c>
      <c r="F31" s="82"/>
      <c r="G31" s="82"/>
      <c r="H31" s="82">
        <v>1500</v>
      </c>
      <c r="I31" s="82"/>
      <c r="J31" s="82"/>
      <c r="K31" s="82">
        <v>1500</v>
      </c>
      <c r="L31" s="82"/>
      <c r="M31" s="82"/>
      <c r="N31" s="2"/>
      <c r="O31" s="2"/>
      <c r="P31" s="2"/>
    </row>
    <row r="32" spans="1:16" ht="21.95" customHeight="1">
      <c r="A32" s="2"/>
      <c r="B32" s="66" t="s">
        <v>117</v>
      </c>
      <c r="C32" s="66" t="s">
        <v>117</v>
      </c>
      <c r="D32" s="66" t="s">
        <v>117</v>
      </c>
      <c r="E32" s="83">
        <f>IF(AND(AND(ISNUMBER($E$8),$E$8&gt;0,ISNUMBER($K$8),$K$8&gt;=1,$K$8&lt;=3,MOD($K$8,1)=0),1&lt;=$K$8),IF(COUNT(E23,E24,E25,E26,E27,E28,E29,E30,E31)=9,SUM(E23,E24,E25,E26,E27,E28,E29,E30,E31),""),"")</f>
        <v>55600</v>
      </c>
      <c r="F32" s="84"/>
      <c r="G32" s="84"/>
      <c r="H32" s="83">
        <f>IF(AND(AND(ISNUMBER($E$8),$E$8&gt;0,ISNUMBER($K$8),$K$8&gt;=1,$K$8&lt;=3,MOD($K$8,1)=0),2&lt;=$K$8),IF(COUNT(H23,H24,H25,H26,H27,H28,H29,H30,H31)=9,SUM(H23,H24,H25,H26,H27,H28,H29,H30,H31),""),"")</f>
        <v>54600</v>
      </c>
      <c r="I32" s="84"/>
      <c r="J32" s="84"/>
      <c r="K32" s="83">
        <f>IF(AND(AND(ISNUMBER($E$8),$E$8&gt;0,ISNUMBER($K$8),$K$8&gt;=1,$K$8&lt;=3,MOD($K$8,1)=0),3&lt;=$K$8),IF(COUNT(K23,K24,K25,K26,K27,K28,K29,K30,K31)=9,SUM(K23,K24,K25,K26,K27,K28,K29,K30,K31),""),"")</f>
        <v>53100</v>
      </c>
      <c r="L32" s="84"/>
      <c r="M32" s="84"/>
      <c r="N32" s="2"/>
      <c r="O32" s="2"/>
      <c r="P32" s="2"/>
    </row>
    <row r="33" spans="1:16" ht="21.9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ht="21.95" customHeight="1">
      <c r="A34" s="2"/>
      <c r="B34" s="54" t="s">
        <v>118</v>
      </c>
      <c r="C34" s="54" t="s">
        <v>118</v>
      </c>
      <c r="D34" s="54" t="s">
        <v>118</v>
      </c>
      <c r="E34" s="80">
        <f>IF(COUNT(E21,E32)=2,E21-E32,"")</f>
        <v>-5600</v>
      </c>
      <c r="F34" s="81"/>
      <c r="G34" s="81"/>
      <c r="H34" s="80">
        <f>IF(COUNT(H21,H32)=2,H21-H32,"")</f>
        <v>-9600</v>
      </c>
      <c r="I34" s="81"/>
      <c r="J34" s="81"/>
      <c r="K34" s="80">
        <f>IF(COUNT(K21,K32)=2,K21-K32,"")</f>
        <v>6900</v>
      </c>
      <c r="L34" s="81"/>
      <c r="M34" s="81"/>
      <c r="N34" s="2"/>
      <c r="O34" s="2"/>
      <c r="P34" s="2"/>
    </row>
    <row r="35" spans="1:16" ht="21.95" customHeight="1">
      <c r="A35" s="2"/>
      <c r="B35" s="68" t="s">
        <v>119</v>
      </c>
      <c r="C35" s="68" t="s">
        <v>119</v>
      </c>
      <c r="D35" s="68" t="s">
        <v>119</v>
      </c>
      <c r="E35" s="85">
        <f>IF(COUNT(E16,E34)=2,E16+E34,"")</f>
        <v>19400</v>
      </c>
      <c r="F35" s="86"/>
      <c r="G35" s="86"/>
      <c r="H35" s="85">
        <f>IF(COUNT(H16,H34)=2,H16+H34,"")</f>
        <v>9800</v>
      </c>
      <c r="I35" s="86"/>
      <c r="J35" s="86"/>
      <c r="K35" s="85">
        <f>IF(COUNT(K16,K34)=2,K16+K34,"")</f>
        <v>16700</v>
      </c>
      <c r="L35" s="86"/>
      <c r="M35" s="86"/>
      <c r="N35" s="2"/>
      <c r="O35" s="2"/>
      <c r="P35" s="2"/>
    </row>
    <row r="36" spans="1:16" ht="21.95" customHeight="1">
      <c r="A36" s="2"/>
      <c r="B36" s="54" t="s">
        <v>120</v>
      </c>
      <c r="C36" s="54" t="s">
        <v>120</v>
      </c>
      <c r="D36" s="54" t="s">
        <v>120</v>
      </c>
      <c r="E36" s="80">
        <f>IF(COUNT(E35,$K$10)=2,E35-$K$10,"")</f>
        <v>9400</v>
      </c>
      <c r="F36" s="81"/>
      <c r="G36" s="81"/>
      <c r="H36" s="80">
        <f>IF(COUNT(H35,$K$10)=2,H35-$K$10,"")</f>
        <v>-200</v>
      </c>
      <c r="I36" s="81"/>
      <c r="J36" s="81"/>
      <c r="K36" s="80">
        <f>IF(COUNT(K35,$K$10)=2,K35-$K$10,"")</f>
        <v>6700</v>
      </c>
      <c r="L36" s="81"/>
      <c r="M36" s="81"/>
      <c r="N36" s="2"/>
      <c r="O36" s="2"/>
      <c r="P36" s="2"/>
    </row>
    <row r="37" spans="1:16" ht="21.9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ht="33.950000000000003" customHeight="1">
      <c r="A38" s="2"/>
      <c r="B38" s="54" t="s">
        <v>121</v>
      </c>
      <c r="C38" s="54" t="s">
        <v>121</v>
      </c>
      <c r="D38" s="54" t="s">
        <v>121</v>
      </c>
      <c r="E38" s="87" t="str">
        <f>IF(AND(AND(ISNUMBER($E$8),$E$8&gt;0,ISNUMBER($K$8),$K$8&gt;=1,$K$8&lt;=3,MOD($K$8,1)=0),1&lt;=$K$8),IF(AND(COUNT(E18,E19,E20,E23,E24,E25,E26,E27,E28,E29,E30,E31)=12,ISNUMBER(E16)),IF(ISNUMBER($K$10),"Complete","Enter reserve"),"Complete inputs / opening cash"),"Not included")</f>
        <v>Complete</v>
      </c>
      <c r="F38" s="88"/>
      <c r="G38" s="88"/>
      <c r="H38" s="87" t="str">
        <f>IF(AND(AND(ISNUMBER($E$8),$E$8&gt;0,ISNUMBER($K$8),$K$8&gt;=1,$K$8&lt;=3,MOD($K$8,1)=0),2&lt;=$K$8),IF(AND(COUNT(H18,H19,H20,H23,H24,H25,H26,H27,H28,H29,H30,H31)=12,ISNUMBER(H16)),IF(ISNUMBER($K$10),"Complete","Enter reserve"),"Complete inputs / opening cash"),"Not included")</f>
        <v>Complete</v>
      </c>
      <c r="I38" s="88"/>
      <c r="J38" s="88"/>
      <c r="K38" s="87" t="str">
        <f>IF(AND(AND(ISNUMBER($E$8),$E$8&gt;0,ISNUMBER($K$8),$K$8&gt;=1,$K$8&lt;=3,MOD($K$8,1)=0),3&lt;=$K$8),IF(AND(COUNT(K18,K19,K20,K23,K24,K25,K26,K27,K28,K29,K30,K31)=12,ISNUMBER(K16)),IF(ISNUMBER($K$10),"Complete","Enter reserve"),"Complete inputs / opening cash"),"Not included")</f>
        <v>Complete</v>
      </c>
      <c r="L38" s="88"/>
      <c r="M38" s="88"/>
      <c r="N38" s="2"/>
      <c r="O38" s="2"/>
      <c r="P38" s="2"/>
    </row>
    <row r="39" spans="1:16" ht="21.9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 ht="21.95" customHeight="1">
      <c r="A40" s="2"/>
      <c r="B40" s="61" t="str">
        <f>IF(AND(ISNUMBER($K$8),$K$8&gt;=1,ISNUMBER($K$10),COUNT(E35,H35,K35)=$K$8),IF(MIN(E35,H35,K35)&lt;0,"Cash shortfall: the lowest projected closing balance is "&amp;TEXT(MIN(E35,H35,K35),"$#,##0;($#,##0)")&amp;". Review collection dates, planned payments, and funding before commitments.",IF(MIN(E35,H35,K35)&lt;$K$10,"Below your reserve: lowest projected closing cash is "&amp;TEXT(MIN(E35,H35,K35),"$#,##0")&amp;". Review collections and upcoming payments; consider a larger buffer.","All included month-end balances meet your reserve. Check payment dates within each month as well.")),"Complete all included cash months, the opening cash balance, and a minimum reserve to assess cash coverage.")</f>
        <v>Below your reserve: lowest projected closing cash is $9,800. Review collections and upcoming payments; consider a larger buffer.</v>
      </c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2"/>
      <c r="O40" s="2"/>
      <c r="P40" s="2"/>
    </row>
    <row r="41" spans="1:16" ht="21.95" customHeight="1">
      <c r="A41" s="2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2"/>
      <c r="O41" s="2"/>
      <c r="P41" s="2"/>
    </row>
    <row r="42" spans="1:16" ht="21.95" customHeight="1">
      <c r="A42" s="2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2"/>
      <c r="O42" s="2"/>
      <c r="P42" s="2"/>
    </row>
    <row r="43" spans="1:16" ht="21.9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ht="21.95" customHeight="1">
      <c r="A44" s="2"/>
      <c r="B44" s="47" t="s">
        <v>122</v>
      </c>
      <c r="C44" s="47" t="s">
        <v>122</v>
      </c>
      <c r="D44" s="47" t="s">
        <v>122</v>
      </c>
      <c r="E44" s="47" t="s">
        <v>122</v>
      </c>
      <c r="F44" s="47" t="s">
        <v>122</v>
      </c>
      <c r="G44" s="47" t="s">
        <v>122</v>
      </c>
      <c r="H44" s="47" t="s">
        <v>122</v>
      </c>
      <c r="I44" s="47" t="s">
        <v>122</v>
      </c>
      <c r="J44" s="47" t="s">
        <v>122</v>
      </c>
      <c r="K44" s="47" t="s">
        <v>122</v>
      </c>
      <c r="L44" s="47" t="s">
        <v>122</v>
      </c>
      <c r="M44" s="47" t="s">
        <v>122</v>
      </c>
      <c r="N44" s="2"/>
      <c r="O44" s="2"/>
      <c r="P44" s="2"/>
    </row>
    <row r="45" spans="1:16" ht="21.95" customHeight="1">
      <c r="A45" s="2"/>
      <c r="B45" s="47" t="s">
        <v>122</v>
      </c>
      <c r="C45" s="47" t="s">
        <v>122</v>
      </c>
      <c r="D45" s="47" t="s">
        <v>122</v>
      </c>
      <c r="E45" s="47" t="s">
        <v>122</v>
      </c>
      <c r="F45" s="47" t="s">
        <v>122</v>
      </c>
      <c r="G45" s="47" t="s">
        <v>122</v>
      </c>
      <c r="H45" s="47" t="s">
        <v>122</v>
      </c>
      <c r="I45" s="47" t="s">
        <v>122</v>
      </c>
      <c r="J45" s="47" t="s">
        <v>122</v>
      </c>
      <c r="K45" s="47" t="s">
        <v>122</v>
      </c>
      <c r="L45" s="47" t="s">
        <v>122</v>
      </c>
      <c r="M45" s="47" t="s">
        <v>122</v>
      </c>
      <c r="N45" s="2"/>
      <c r="O45" s="2"/>
      <c r="P45" s="2"/>
    </row>
    <row r="46" spans="1:16" ht="21.95" customHeight="1">
      <c r="A46" s="2"/>
      <c r="B46" s="47" t="s">
        <v>122</v>
      </c>
      <c r="C46" s="47" t="s">
        <v>122</v>
      </c>
      <c r="D46" s="47" t="s">
        <v>122</v>
      </c>
      <c r="E46" s="47" t="s">
        <v>122</v>
      </c>
      <c r="F46" s="47" t="s">
        <v>122</v>
      </c>
      <c r="G46" s="47" t="s">
        <v>122</v>
      </c>
      <c r="H46" s="47" t="s">
        <v>122</v>
      </c>
      <c r="I46" s="47" t="s">
        <v>122</v>
      </c>
      <c r="J46" s="47" t="s">
        <v>122</v>
      </c>
      <c r="K46" s="47" t="s">
        <v>122</v>
      </c>
      <c r="L46" s="47" t="s">
        <v>122</v>
      </c>
      <c r="M46" s="47" t="s">
        <v>122</v>
      </c>
      <c r="N46" s="2"/>
      <c r="O46" s="2"/>
      <c r="P46" s="2"/>
    </row>
    <row r="47" spans="1:16" ht="21.9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ht="21.95" customHeight="1">
      <c r="A48" s="2"/>
      <c r="B48" s="47" t="s">
        <v>123</v>
      </c>
      <c r="C48" s="47" t="s">
        <v>123</v>
      </c>
      <c r="D48" s="47" t="s">
        <v>123</v>
      </c>
      <c r="E48" s="47" t="s">
        <v>123</v>
      </c>
      <c r="F48" s="47" t="s">
        <v>123</v>
      </c>
      <c r="G48" s="47" t="s">
        <v>123</v>
      </c>
      <c r="H48" s="47" t="s">
        <v>123</v>
      </c>
      <c r="I48" s="47" t="s">
        <v>123</v>
      </c>
      <c r="J48" s="47" t="s">
        <v>123</v>
      </c>
      <c r="K48" s="47" t="s">
        <v>123</v>
      </c>
      <c r="L48" s="47" t="s">
        <v>123</v>
      </c>
      <c r="M48" s="47" t="s">
        <v>123</v>
      </c>
      <c r="N48" s="2"/>
      <c r="O48" s="2"/>
      <c r="P48" s="2"/>
    </row>
    <row r="49" spans="1:16" ht="21.9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</sheetData>
  <sheetProtection sheet="1" objects="1" scenarios="1"/>
  <mergeCells count="95">
    <mergeCell ref="B40:M42"/>
    <mergeCell ref="B44:M46"/>
    <mergeCell ref="B48:M48"/>
    <mergeCell ref="K32:M32"/>
    <mergeCell ref="K34:M34"/>
    <mergeCell ref="K35:M35"/>
    <mergeCell ref="K36:M36"/>
    <mergeCell ref="K38:M38"/>
    <mergeCell ref="K27:M27"/>
    <mergeCell ref="K28:M28"/>
    <mergeCell ref="K29:M29"/>
    <mergeCell ref="K30:M30"/>
    <mergeCell ref="K31:M31"/>
    <mergeCell ref="K20:M20"/>
    <mergeCell ref="K23:M23"/>
    <mergeCell ref="K24:M24"/>
    <mergeCell ref="K25:M25"/>
    <mergeCell ref="K26:M26"/>
    <mergeCell ref="K21:M21"/>
    <mergeCell ref="H32:J32"/>
    <mergeCell ref="H34:J34"/>
    <mergeCell ref="H35:J35"/>
    <mergeCell ref="H36:J36"/>
    <mergeCell ref="H38:J38"/>
    <mergeCell ref="H27:J27"/>
    <mergeCell ref="H28:J28"/>
    <mergeCell ref="H29:J29"/>
    <mergeCell ref="H30:J30"/>
    <mergeCell ref="H31:J31"/>
    <mergeCell ref="H20:J20"/>
    <mergeCell ref="H23:J23"/>
    <mergeCell ref="H24:J24"/>
    <mergeCell ref="H25:J25"/>
    <mergeCell ref="H26:J26"/>
    <mergeCell ref="H21:J21"/>
    <mergeCell ref="E32:G32"/>
    <mergeCell ref="E34:G34"/>
    <mergeCell ref="E35:G35"/>
    <mergeCell ref="E36:G36"/>
    <mergeCell ref="E38:G38"/>
    <mergeCell ref="B38:D38"/>
    <mergeCell ref="E14:G14"/>
    <mergeCell ref="E16:G16"/>
    <mergeCell ref="E18:G18"/>
    <mergeCell ref="E19:G19"/>
    <mergeCell ref="E20:G20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21:G21"/>
    <mergeCell ref="B31:D31"/>
    <mergeCell ref="B32:D32"/>
    <mergeCell ref="B34:D34"/>
    <mergeCell ref="B35:D35"/>
    <mergeCell ref="B36:D36"/>
    <mergeCell ref="B26:D26"/>
    <mergeCell ref="B27:D27"/>
    <mergeCell ref="B28:D28"/>
    <mergeCell ref="B29:D29"/>
    <mergeCell ref="B30:D30"/>
    <mergeCell ref="B20:D20"/>
    <mergeCell ref="B21:D21"/>
    <mergeCell ref="B23:D23"/>
    <mergeCell ref="B24:D24"/>
    <mergeCell ref="B25:D25"/>
    <mergeCell ref="B12:M13"/>
    <mergeCell ref="B14:D14"/>
    <mergeCell ref="B16:D16"/>
    <mergeCell ref="B18:D18"/>
    <mergeCell ref="B19:D19"/>
    <mergeCell ref="H14:J14"/>
    <mergeCell ref="H16:J16"/>
    <mergeCell ref="H18:J18"/>
    <mergeCell ref="H19:J19"/>
    <mergeCell ref="K14:M14"/>
    <mergeCell ref="K16:M16"/>
    <mergeCell ref="K18:M18"/>
    <mergeCell ref="K19:M19"/>
    <mergeCell ref="B10:D10"/>
    <mergeCell ref="I10:J10"/>
    <mergeCell ref="E8:G8"/>
    <mergeCell ref="K8:M8"/>
    <mergeCell ref="E10:G10"/>
    <mergeCell ref="K10:M10"/>
    <mergeCell ref="B2:O2"/>
    <mergeCell ref="B4:O5"/>
    <mergeCell ref="B6:O6"/>
    <mergeCell ref="B8:D8"/>
    <mergeCell ref="I8:J8"/>
  </mergeCells>
  <conditionalFormatting sqref="E34:M36">
    <cfRule type="cellIs" dxfId="3" priority="1" operator="lessThan">
      <formula>0</formula>
    </cfRule>
  </conditionalFormatting>
  <dataValidations count="2">
    <dataValidation type="whole" showErrorMessage="1" errorTitle="Check this input" error="Use a number within the permitted range. Enter 0 when the category does not apply." sqref="K8" xr:uid="{00000000-0002-0000-0400-000000000000}">
      <formula1>0</formula1>
      <formula2>3</formula2>
    </dataValidation>
    <dataValidation type="decimal" showErrorMessage="1" errorTitle="Check this input" error="Use a number within the permitted range. Enter 0 when the category does not apply." sqref="E10 K23:K31 K18:K20 H23:H31 H18:H20 E23:E31 E18:E20 K10" xr:uid="{00000000-0002-0000-0400-000001000000}">
      <formula1>0</formula1>
      <formula2>1000000000000</formula2>
    </dataValidation>
  </dataValidations>
  <pageMargins left="0.7" right="0.7" top="0.75" bottom="0.75" header="0.3" footer="0.3"/>
  <pageSetup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6D9C1"/>
    <pageSetUpPr fitToPage="1"/>
  </sheetPr>
  <dimension ref="A1:T74"/>
  <sheetViews>
    <sheetView showGridLines="0" zoomScale="85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defaultRowHeight="14.25"/>
  <cols>
    <col min="1" max="1" width="3" customWidth="1"/>
    <col min="2" max="2" width="32.25" customWidth="1"/>
    <col min="3" max="5" width="11.125" customWidth="1"/>
    <col min="6" max="6" width="14" customWidth="1"/>
    <col min="7" max="14" width="11.125" customWidth="1"/>
    <col min="15" max="15" width="2.5" customWidth="1"/>
    <col min="16" max="16" width="15.5" customWidth="1"/>
    <col min="17" max="17" width="3" customWidth="1"/>
    <col min="18" max="20" width="14.375" hidden="1" customWidth="1"/>
  </cols>
  <sheetData>
    <row r="1" spans="1:20" ht="21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1.95" customHeight="1">
      <c r="A2" s="2"/>
      <c r="B2" s="44" t="s">
        <v>2</v>
      </c>
      <c r="C2" s="44" t="s">
        <v>2</v>
      </c>
      <c r="D2" s="44" t="s">
        <v>2</v>
      </c>
      <c r="E2" s="44" t="s">
        <v>2</v>
      </c>
      <c r="F2" s="44" t="s">
        <v>2</v>
      </c>
      <c r="G2" s="44" t="s">
        <v>2</v>
      </c>
      <c r="H2" s="44" t="s">
        <v>2</v>
      </c>
      <c r="I2" s="44" t="s">
        <v>2</v>
      </c>
      <c r="J2" s="44" t="s">
        <v>2</v>
      </c>
      <c r="K2" s="44" t="s">
        <v>2</v>
      </c>
      <c r="L2" s="44" t="s">
        <v>2</v>
      </c>
      <c r="M2" s="44" t="s">
        <v>2</v>
      </c>
      <c r="N2" s="44" t="s">
        <v>2</v>
      </c>
      <c r="O2" s="44" t="s">
        <v>2</v>
      </c>
      <c r="P2" s="44" t="s">
        <v>2</v>
      </c>
      <c r="Q2" s="2"/>
      <c r="R2" s="2"/>
      <c r="S2" s="2"/>
      <c r="T2" s="2"/>
    </row>
    <row r="3" spans="1:20" ht="21.9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21.95" customHeight="1">
      <c r="A4" s="2"/>
      <c r="B4" s="45" t="s">
        <v>124</v>
      </c>
      <c r="C4" s="45" t="s">
        <v>124</v>
      </c>
      <c r="D4" s="45" t="s">
        <v>124</v>
      </c>
      <c r="E4" s="45" t="s">
        <v>124</v>
      </c>
      <c r="F4" s="45" t="s">
        <v>124</v>
      </c>
      <c r="G4" s="45" t="s">
        <v>124</v>
      </c>
      <c r="H4" s="45" t="s">
        <v>124</v>
      </c>
      <c r="I4" s="45" t="s">
        <v>124</v>
      </c>
      <c r="J4" s="45" t="s">
        <v>124</v>
      </c>
      <c r="K4" s="45" t="s">
        <v>124</v>
      </c>
      <c r="L4" s="45" t="s">
        <v>124</v>
      </c>
      <c r="M4" s="45" t="s">
        <v>124</v>
      </c>
      <c r="N4" s="45" t="s">
        <v>124</v>
      </c>
      <c r="O4" s="45" t="s">
        <v>124</v>
      </c>
      <c r="P4" s="45" t="s">
        <v>124</v>
      </c>
      <c r="Q4" s="2"/>
      <c r="R4" s="2"/>
      <c r="S4" s="2"/>
      <c r="T4" s="2"/>
    </row>
    <row r="5" spans="1:20" ht="21.95" customHeight="1">
      <c r="A5" s="2"/>
      <c r="B5" s="45" t="s">
        <v>124</v>
      </c>
      <c r="C5" s="45" t="s">
        <v>124</v>
      </c>
      <c r="D5" s="45" t="s">
        <v>124</v>
      </c>
      <c r="E5" s="45" t="s">
        <v>124</v>
      </c>
      <c r="F5" s="45" t="s">
        <v>124</v>
      </c>
      <c r="G5" s="45" t="s">
        <v>124</v>
      </c>
      <c r="H5" s="45" t="s">
        <v>124</v>
      </c>
      <c r="I5" s="45" t="s">
        <v>124</v>
      </c>
      <c r="J5" s="45" t="s">
        <v>124</v>
      </c>
      <c r="K5" s="45" t="s">
        <v>124</v>
      </c>
      <c r="L5" s="45" t="s">
        <v>124</v>
      </c>
      <c r="M5" s="45" t="s">
        <v>124</v>
      </c>
      <c r="N5" s="45" t="s">
        <v>124</v>
      </c>
      <c r="O5" s="45" t="s">
        <v>124</v>
      </c>
      <c r="P5" s="45" t="s">
        <v>124</v>
      </c>
      <c r="Q5" s="2"/>
      <c r="R5" s="2"/>
      <c r="S5" s="2"/>
      <c r="T5" s="2"/>
    </row>
    <row r="6" spans="1:20" ht="21.95" customHeight="1">
      <c r="A6" s="2"/>
      <c r="B6" s="46" t="s">
        <v>4</v>
      </c>
      <c r="C6" s="46" t="s">
        <v>4</v>
      </c>
      <c r="D6" s="46" t="s">
        <v>4</v>
      </c>
      <c r="E6" s="46" t="s">
        <v>4</v>
      </c>
      <c r="F6" s="46" t="s">
        <v>4</v>
      </c>
      <c r="G6" s="46" t="s">
        <v>4</v>
      </c>
      <c r="H6" s="46" t="s">
        <v>4</v>
      </c>
      <c r="I6" s="46" t="s">
        <v>4</v>
      </c>
      <c r="J6" s="46" t="s">
        <v>4</v>
      </c>
      <c r="K6" s="46" t="s">
        <v>4</v>
      </c>
      <c r="L6" s="46" t="s">
        <v>4</v>
      </c>
      <c r="M6" s="46" t="s">
        <v>4</v>
      </c>
      <c r="N6" s="46" t="s">
        <v>4</v>
      </c>
      <c r="O6" s="46" t="s">
        <v>4</v>
      </c>
      <c r="P6" s="46" t="s">
        <v>4</v>
      </c>
      <c r="Q6" s="2"/>
      <c r="R6" s="2"/>
      <c r="S6" s="2"/>
      <c r="T6" s="2"/>
    </row>
    <row r="7" spans="1:20" ht="21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21.95" customHeight="1">
      <c r="A8" s="2"/>
      <c r="B8" s="2" t="s">
        <v>125</v>
      </c>
      <c r="C8" s="41">
        <v>46023</v>
      </c>
      <c r="D8" s="2"/>
      <c r="E8" s="2"/>
      <c r="F8" s="2" t="s">
        <v>98</v>
      </c>
      <c r="G8" s="42">
        <v>12</v>
      </c>
      <c r="H8" s="2"/>
      <c r="I8" s="89" t="s">
        <v>126</v>
      </c>
      <c r="J8" s="89" t="s">
        <v>126</v>
      </c>
      <c r="K8" s="89" t="s">
        <v>126</v>
      </c>
      <c r="L8" s="89" t="s">
        <v>126</v>
      </c>
      <c r="M8" s="89" t="s">
        <v>126</v>
      </c>
      <c r="N8" s="89" t="s">
        <v>126</v>
      </c>
      <c r="O8" s="2"/>
      <c r="P8" s="2"/>
      <c r="Q8" s="2"/>
      <c r="R8" s="2"/>
      <c r="S8" s="2"/>
      <c r="T8" s="2"/>
    </row>
    <row r="9" spans="1:20" ht="21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21.95" customHeight="1">
      <c r="A10" s="2"/>
      <c r="B10" s="47" t="s">
        <v>127</v>
      </c>
      <c r="C10" s="47" t="s">
        <v>127</v>
      </c>
      <c r="D10" s="47" t="s">
        <v>127</v>
      </c>
      <c r="E10" s="47" t="s">
        <v>127</v>
      </c>
      <c r="F10" s="47" t="s">
        <v>127</v>
      </c>
      <c r="G10" s="47" t="s">
        <v>127</v>
      </c>
      <c r="H10" s="47" t="s">
        <v>127</v>
      </c>
      <c r="I10" s="47" t="s">
        <v>127</v>
      </c>
      <c r="J10" s="47" t="s">
        <v>127</v>
      </c>
      <c r="K10" s="47" t="s">
        <v>127</v>
      </c>
      <c r="L10" s="47" t="s">
        <v>127</v>
      </c>
      <c r="M10" s="47" t="s">
        <v>127</v>
      </c>
      <c r="N10" s="47" t="s">
        <v>127</v>
      </c>
      <c r="O10" s="47" t="s">
        <v>127</v>
      </c>
      <c r="P10" s="47" t="s">
        <v>127</v>
      </c>
      <c r="Q10" s="2"/>
      <c r="R10" s="2"/>
      <c r="S10" s="2"/>
      <c r="T10" s="2"/>
    </row>
    <row r="11" spans="1:20" ht="21.95" customHeight="1">
      <c r="A11" s="2"/>
      <c r="B11" s="47" t="s">
        <v>127</v>
      </c>
      <c r="C11" s="47" t="s">
        <v>127</v>
      </c>
      <c r="D11" s="47" t="s">
        <v>127</v>
      </c>
      <c r="E11" s="47" t="s">
        <v>127</v>
      </c>
      <c r="F11" s="47" t="s">
        <v>127</v>
      </c>
      <c r="G11" s="47" t="s">
        <v>127</v>
      </c>
      <c r="H11" s="47" t="s">
        <v>127</v>
      </c>
      <c r="I11" s="47" t="s">
        <v>127</v>
      </c>
      <c r="J11" s="47" t="s">
        <v>127</v>
      </c>
      <c r="K11" s="47" t="s">
        <v>127</v>
      </c>
      <c r="L11" s="47" t="s">
        <v>127</v>
      </c>
      <c r="M11" s="47" t="s">
        <v>127</v>
      </c>
      <c r="N11" s="47" t="s">
        <v>127</v>
      </c>
      <c r="O11" s="47" t="s">
        <v>127</v>
      </c>
      <c r="P11" s="47" t="s">
        <v>127</v>
      </c>
      <c r="Q11" s="2"/>
      <c r="R11" s="2"/>
      <c r="S11" s="2"/>
      <c r="T11" s="2"/>
    </row>
    <row r="12" spans="1:20" ht="21.95" customHeight="1">
      <c r="A12" s="2"/>
      <c r="B12" s="2"/>
      <c r="C12" s="5">
        <v>1</v>
      </c>
      <c r="D12" s="5">
        <v>2</v>
      </c>
      <c r="E12" s="5">
        <v>3</v>
      </c>
      <c r="F12" s="5">
        <v>4</v>
      </c>
      <c r="G12" s="5">
        <v>5</v>
      </c>
      <c r="H12" s="5">
        <v>6</v>
      </c>
      <c r="I12" s="5">
        <v>7</v>
      </c>
      <c r="J12" s="5">
        <v>8</v>
      </c>
      <c r="K12" s="5">
        <v>9</v>
      </c>
      <c r="L12" s="5">
        <v>10</v>
      </c>
      <c r="M12" s="5">
        <v>11</v>
      </c>
      <c r="N12" s="5">
        <v>12</v>
      </c>
      <c r="O12" s="2"/>
      <c r="P12" s="2"/>
      <c r="Q12" s="2"/>
      <c r="R12" s="2"/>
      <c r="S12" s="2"/>
      <c r="T12" s="2"/>
    </row>
    <row r="13" spans="1:20" ht="30.95" customHeight="1">
      <c r="A13" s="2"/>
      <c r="B13" s="7" t="s">
        <v>128</v>
      </c>
      <c r="C13" s="8">
        <f>IF(ISNUMBER($C$8),DATE(YEAR($C$8),MONTH($C$8)+0,1),"")</f>
        <v>46023</v>
      </c>
      <c r="D13" s="8">
        <f>IF(ISNUMBER($C$8),DATE(YEAR($C$8),MONTH($C$8)+1,1),"")</f>
        <v>46054</v>
      </c>
      <c r="E13" s="8">
        <f>IF(ISNUMBER($C$8),DATE(YEAR($C$8),MONTH($C$8)+2,1),"")</f>
        <v>46082</v>
      </c>
      <c r="F13" s="8">
        <f>IF(ISNUMBER($C$8),DATE(YEAR($C$8),MONTH($C$8)+3,1),"")</f>
        <v>46113</v>
      </c>
      <c r="G13" s="8">
        <f>IF(ISNUMBER($C$8),DATE(YEAR($C$8),MONTH($C$8)+4,1),"")</f>
        <v>46143</v>
      </c>
      <c r="H13" s="8">
        <f>IF(ISNUMBER($C$8),DATE(YEAR($C$8),MONTH($C$8)+5,1),"")</f>
        <v>46174</v>
      </c>
      <c r="I13" s="8">
        <f>IF(ISNUMBER($C$8),DATE(YEAR($C$8),MONTH($C$8)+6,1),"")</f>
        <v>46204</v>
      </c>
      <c r="J13" s="8">
        <f>IF(ISNUMBER($C$8),DATE(YEAR($C$8),MONTH($C$8)+7,1),"")</f>
        <v>46235</v>
      </c>
      <c r="K13" s="8">
        <f>IF(ISNUMBER($C$8),DATE(YEAR($C$8),MONTH($C$8)+8,1),"")</f>
        <v>46266</v>
      </c>
      <c r="L13" s="8">
        <f>IF(ISNUMBER($C$8),DATE(YEAR($C$8),MONTH($C$8)+9,1),"")</f>
        <v>46296</v>
      </c>
      <c r="M13" s="8">
        <f>IF(ISNUMBER($C$8),DATE(YEAR($C$8),MONTH($C$8)+10,1),"")</f>
        <v>46327</v>
      </c>
      <c r="N13" s="8">
        <f>IF(ISNUMBER($C$8),DATE(YEAR($C$8),MONTH($C$8)+11,1),"")</f>
        <v>46357</v>
      </c>
      <c r="O13" s="2"/>
      <c r="P13" s="7" t="s">
        <v>129</v>
      </c>
      <c r="Q13" s="2"/>
      <c r="R13" s="2" t="s">
        <v>130</v>
      </c>
      <c r="S13" s="2" t="s">
        <v>5</v>
      </c>
      <c r="T13" s="2" t="s">
        <v>70</v>
      </c>
    </row>
    <row r="14" spans="1:20" ht="21.95" customHeight="1">
      <c r="A14" s="2"/>
      <c r="B14" s="9" t="s">
        <v>131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2"/>
      <c r="P14" s="2"/>
      <c r="Q14" s="2"/>
      <c r="R14" s="4" t="str">
        <f>IF(1&lt;=$G$8,IF(ISNUMBER(C13),TEXT(C13,"mmm-yy"),""),"")</f>
        <v>Jan-26</v>
      </c>
      <c r="S14" s="24">
        <f>IF(ISNUMBER(C17),C17,NA())</f>
        <v>48000</v>
      </c>
      <c r="T14" s="24">
        <f>IF(ISNUMBER(C39),C39,NA())</f>
        <v>7780</v>
      </c>
    </row>
    <row r="15" spans="1:20" ht="21.95" customHeight="1">
      <c r="A15" s="2"/>
      <c r="B15" s="2" t="s">
        <v>59</v>
      </c>
      <c r="C15" s="43">
        <v>48000</v>
      </c>
      <c r="D15" s="43">
        <v>51000</v>
      </c>
      <c r="E15" s="43">
        <v>54000</v>
      </c>
      <c r="F15" s="43">
        <v>50000</v>
      </c>
      <c r="G15" s="43">
        <v>57000</v>
      </c>
      <c r="H15" s="43">
        <v>60000</v>
      </c>
      <c r="I15" s="43">
        <v>62000</v>
      </c>
      <c r="J15" s="43">
        <v>65000</v>
      </c>
      <c r="K15" s="43">
        <v>68000</v>
      </c>
      <c r="L15" s="43">
        <v>66000</v>
      </c>
      <c r="M15" s="43">
        <v>72000</v>
      </c>
      <c r="N15" s="43">
        <v>76000</v>
      </c>
      <c r="O15" s="2"/>
      <c r="P15" s="18">
        <f>IF(AND(ISNUMBER($C$8),$C$8&gt;0,ISNUMBER($G$8),$G$8&gt;=1,$G$8&lt;=12,MOD($G$8,1)=0),IF(COUNT(C15:INDEX(C15:N15,1,$G$8))=$G$8,SUM(C15:INDEX(C15:N15,1,$G$8)),""),"")</f>
        <v>729000</v>
      </c>
      <c r="Q15" s="2"/>
      <c r="R15" s="4" t="str">
        <f>IF(2&lt;=$G$8,IF(ISNUMBER(D13),TEXT(D13,"mmm-yy"),""),"")</f>
        <v>Feb-26</v>
      </c>
      <c r="S15" s="24">
        <f>IF(ISNUMBER(D17),D17,NA())</f>
        <v>51000</v>
      </c>
      <c r="T15" s="24">
        <f>IF(ISNUMBER(D39),D39,NA())</f>
        <v>9120</v>
      </c>
    </row>
    <row r="16" spans="1:20" ht="21.95" customHeight="1">
      <c r="A16" s="2"/>
      <c r="B16" s="2" t="s">
        <v>60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2"/>
      <c r="P16" s="18">
        <f>IF(AND(ISNUMBER($C$8),$C$8&gt;0,ISNUMBER($G$8),$G$8&gt;=1,$G$8&lt;=12,MOD($G$8,1)=0),IF(COUNT(C16:INDEX(C16:N16,1,$G$8))=$G$8,SUM(C16:INDEX(C16:N16,1,$G$8)),""),"")</f>
        <v>0</v>
      </c>
      <c r="Q16" s="2"/>
      <c r="R16" s="4" t="str">
        <f>IF(3&lt;=$G$8,IF(ISNUMBER(E13),TEXT(E13,"mmm-yy"),""),"")</f>
        <v>Mar-26</v>
      </c>
      <c r="S16" s="24">
        <f>IF(ISNUMBER(E17),E17,NA())</f>
        <v>54000</v>
      </c>
      <c r="T16" s="24">
        <f>IF(ISNUMBER(E39),E39,NA())</f>
        <v>9932</v>
      </c>
    </row>
    <row r="17" spans="1:20" ht="21.95" customHeight="1">
      <c r="A17" s="2"/>
      <c r="B17" s="13" t="s">
        <v>61</v>
      </c>
      <c r="C17" s="16">
        <f>IF(AND(AND(ISNUMBER($C$8),$C$8&gt;0,ISNUMBER($G$8),$G$8&gt;=1,$G$8&lt;=12,MOD($G$8,1)=0),1&lt;=$G$8),IF(COUNT(C15:C16)=2,SUM(C15:C16),""),"")</f>
        <v>48000</v>
      </c>
      <c r="D17" s="16">
        <f>IF(AND(AND(ISNUMBER($C$8),$C$8&gt;0,ISNUMBER($G$8),$G$8&gt;=1,$G$8&lt;=12,MOD($G$8,1)=0),2&lt;=$G$8),IF(COUNT(D15:D16)=2,SUM(D15:D16),""),"")</f>
        <v>51000</v>
      </c>
      <c r="E17" s="16">
        <f>IF(AND(AND(ISNUMBER($C$8),$C$8&gt;0,ISNUMBER($G$8),$G$8&gt;=1,$G$8&lt;=12,MOD($G$8,1)=0),3&lt;=$G$8),IF(COUNT(E15:E16)=2,SUM(E15:E16),""),"")</f>
        <v>54000</v>
      </c>
      <c r="F17" s="16">
        <f>IF(AND(AND(ISNUMBER($C$8),$C$8&gt;0,ISNUMBER($G$8),$G$8&gt;=1,$G$8&lt;=12,MOD($G$8,1)=0),4&lt;=$G$8),IF(COUNT(F15:F16)=2,SUM(F15:F16),""),"")</f>
        <v>50000</v>
      </c>
      <c r="G17" s="16">
        <f>IF(AND(AND(ISNUMBER($C$8),$C$8&gt;0,ISNUMBER($G$8),$G$8&gt;=1,$G$8&lt;=12,MOD($G$8,1)=0),5&lt;=$G$8),IF(COUNT(G15:G16)=2,SUM(G15:G16),""),"")</f>
        <v>57000</v>
      </c>
      <c r="H17" s="16">
        <f>IF(AND(AND(ISNUMBER($C$8),$C$8&gt;0,ISNUMBER($G$8),$G$8&gt;=1,$G$8&lt;=12,MOD($G$8,1)=0),6&lt;=$G$8),IF(COUNT(H15:H16)=2,SUM(H15:H16),""),"")</f>
        <v>60000</v>
      </c>
      <c r="I17" s="16">
        <f>IF(AND(AND(ISNUMBER($C$8),$C$8&gt;0,ISNUMBER($G$8),$G$8&gt;=1,$G$8&lt;=12,MOD($G$8,1)=0),7&lt;=$G$8),IF(COUNT(I15:I16)=2,SUM(I15:I16),""),"")</f>
        <v>62000</v>
      </c>
      <c r="J17" s="16">
        <f>IF(AND(AND(ISNUMBER($C$8),$C$8&gt;0,ISNUMBER($G$8),$G$8&gt;=1,$G$8&lt;=12,MOD($G$8,1)=0),8&lt;=$G$8),IF(COUNT(J15:J16)=2,SUM(J15:J16),""),"")</f>
        <v>65000</v>
      </c>
      <c r="K17" s="16">
        <f>IF(AND(AND(ISNUMBER($C$8),$C$8&gt;0,ISNUMBER($G$8),$G$8&gt;=1,$G$8&lt;=12,MOD($G$8,1)=0),9&lt;=$G$8),IF(COUNT(K15:K16)=2,SUM(K15:K16),""),"")</f>
        <v>68000</v>
      </c>
      <c r="L17" s="16">
        <f>IF(AND(AND(ISNUMBER($C$8),$C$8&gt;0,ISNUMBER($G$8),$G$8&gt;=1,$G$8&lt;=12,MOD($G$8,1)=0),10&lt;=$G$8),IF(COUNT(L15:L16)=2,SUM(L15:L16),""),"")</f>
        <v>66000</v>
      </c>
      <c r="M17" s="16">
        <f>IF(AND(AND(ISNUMBER($C$8),$C$8&gt;0,ISNUMBER($G$8),$G$8&gt;=1,$G$8&lt;=12,MOD($G$8,1)=0),11&lt;=$G$8),IF(COUNT(M15:M16)=2,SUM(M15:M16),""),"")</f>
        <v>72000</v>
      </c>
      <c r="N17" s="16">
        <f>IF(AND(AND(ISNUMBER($C$8),$C$8&gt;0,ISNUMBER($G$8),$G$8&gt;=1,$G$8&lt;=12,MOD($G$8,1)=0),12&lt;=$G$8),IF(COUNT(N15:N16)=2,SUM(N15:N16),""),"")</f>
        <v>76000</v>
      </c>
      <c r="O17" s="2"/>
      <c r="P17" s="16">
        <f>IF(COUNT(P15:P16)=2,SUM(P15:P16),"")</f>
        <v>729000</v>
      </c>
      <c r="Q17" s="2"/>
      <c r="R17" s="4" t="str">
        <f>IF(4&lt;=$G$8,IF(ISNUMBER(F13),TEXT(F13,"mmm-yy"),""),"")</f>
        <v>Apr-26</v>
      </c>
      <c r="S17" s="24">
        <f>IF(ISNUMBER(F17),F17,NA())</f>
        <v>50000</v>
      </c>
      <c r="T17" s="24">
        <f>IF(ISNUMBER(F39),F39,NA())</f>
        <v>7543</v>
      </c>
    </row>
    <row r="18" spans="1:20" ht="21.95" customHeight="1">
      <c r="A18" s="2"/>
      <c r="B18" s="9" t="s">
        <v>132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2"/>
      <c r="P18" s="15"/>
      <c r="Q18" s="2"/>
      <c r="R18" s="4" t="str">
        <f>IF(5&lt;=$G$8,IF(ISNUMBER(G13),TEXT(G13,"mmm-yy"),""),"")</f>
        <v>May-26</v>
      </c>
      <c r="S18" s="24">
        <f>IF(ISNUMBER(G17),G17,NA())</f>
        <v>57000</v>
      </c>
      <c r="T18" s="24">
        <f>IF(ISNUMBER(G39),G39,NA())</f>
        <v>10799</v>
      </c>
    </row>
    <row r="19" spans="1:20" ht="21.95" customHeight="1">
      <c r="A19" s="2"/>
      <c r="B19" s="2" t="s">
        <v>133</v>
      </c>
      <c r="C19" s="40">
        <v>9120</v>
      </c>
      <c r="D19" s="40">
        <v>9835</v>
      </c>
      <c r="E19" s="40">
        <v>10568</v>
      </c>
      <c r="F19" s="40">
        <v>9928</v>
      </c>
      <c r="G19" s="40">
        <v>11480</v>
      </c>
      <c r="H19" s="40">
        <v>12255</v>
      </c>
      <c r="I19" s="40">
        <v>12840</v>
      </c>
      <c r="J19" s="40">
        <v>13647</v>
      </c>
      <c r="K19" s="40">
        <v>14470</v>
      </c>
      <c r="L19" s="40">
        <v>14233</v>
      </c>
      <c r="M19" s="40">
        <v>15732</v>
      </c>
      <c r="N19" s="40">
        <v>16823</v>
      </c>
      <c r="O19" s="2"/>
      <c r="P19" s="18">
        <f>IF(AND(ISNUMBER($C$8),$C$8&gt;0,ISNUMBER($G$8),$G$8&gt;=1,$G$8&lt;=12,MOD($G$8,1)=0),IF(COUNT(C19:INDEX(C19:N19,1,$G$8))=$G$8,SUM(C19:INDEX(C19:N19,1,$G$8)),""),"")</f>
        <v>150931</v>
      </c>
      <c r="Q19" s="2"/>
      <c r="R19" s="4" t="str">
        <f>IF(6&lt;=$G$8,IF(ISNUMBER(H13),TEXT(H13,"mmm-yy"),""),"")</f>
        <v>Jun-26</v>
      </c>
      <c r="S19" s="24">
        <f>IF(ISNUMBER(H17),H17,NA())</f>
        <v>60000</v>
      </c>
      <c r="T19" s="24">
        <f>IF(ISNUMBER(H39),H39,NA())</f>
        <v>11542</v>
      </c>
    </row>
    <row r="20" spans="1:20" ht="21.95" customHeight="1">
      <c r="A20" s="2"/>
      <c r="B20" s="2" t="s">
        <v>134</v>
      </c>
      <c r="C20" s="40">
        <v>10560</v>
      </c>
      <c r="D20" s="40">
        <v>11310</v>
      </c>
      <c r="E20" s="40">
        <v>12070</v>
      </c>
      <c r="F20" s="40">
        <v>11264</v>
      </c>
      <c r="G20" s="40">
        <v>12941</v>
      </c>
      <c r="H20" s="40">
        <v>13728</v>
      </c>
      <c r="I20" s="40">
        <v>14295</v>
      </c>
      <c r="J20" s="40">
        <v>15101</v>
      </c>
      <c r="K20" s="40">
        <v>15917</v>
      </c>
      <c r="L20" s="40">
        <v>15565</v>
      </c>
      <c r="M20" s="40">
        <v>17107</v>
      </c>
      <c r="N20" s="40">
        <v>18191</v>
      </c>
      <c r="O20" s="2"/>
      <c r="P20" s="18">
        <f>IF(AND(ISNUMBER($C$8),$C$8&gt;0,ISNUMBER($G$8),$G$8&gt;=1,$G$8&lt;=12,MOD($G$8,1)=0),IF(COUNT(C20:INDEX(C20:N20,1,$G$8))=$G$8,SUM(C20:INDEX(C20:N20,1,$G$8)),""),"")</f>
        <v>168049</v>
      </c>
      <c r="Q20" s="2"/>
      <c r="R20" s="4" t="str">
        <f>IF(7&lt;=$G$8,IF(ISNUMBER(I13),TEXT(I13,"mmm-yy"),""),"")</f>
        <v>Jul-26</v>
      </c>
      <c r="S20" s="24">
        <f>IF(ISNUMBER(I17),I17,NA())</f>
        <v>62000</v>
      </c>
      <c r="T20" s="24">
        <f>IF(ISNUMBER(I39),I39,NA())</f>
        <v>12375</v>
      </c>
    </row>
    <row r="21" spans="1:20" ht="21.95" customHeight="1">
      <c r="A21" s="2"/>
      <c r="B21" s="2" t="s">
        <v>135</v>
      </c>
      <c r="C21" s="40">
        <v>1440</v>
      </c>
      <c r="D21" s="40">
        <v>1530</v>
      </c>
      <c r="E21" s="40">
        <v>1620</v>
      </c>
      <c r="F21" s="40">
        <v>1500</v>
      </c>
      <c r="G21" s="40">
        <v>1710</v>
      </c>
      <c r="H21" s="40">
        <v>1800</v>
      </c>
      <c r="I21" s="40">
        <v>1860</v>
      </c>
      <c r="J21" s="40">
        <v>1950</v>
      </c>
      <c r="K21" s="40">
        <v>2040</v>
      </c>
      <c r="L21" s="40">
        <v>1980</v>
      </c>
      <c r="M21" s="40">
        <v>2160</v>
      </c>
      <c r="N21" s="40">
        <v>2280</v>
      </c>
      <c r="O21" s="2"/>
      <c r="P21" s="18">
        <f>IF(AND(ISNUMBER($C$8),$C$8&gt;0,ISNUMBER($G$8),$G$8&gt;=1,$G$8&lt;=12,MOD($G$8,1)=0),IF(COUNT(C21:INDEX(C21:N21,1,$G$8))=$G$8,SUM(C21:INDEX(C21:N21,1,$G$8)),""),"")</f>
        <v>21870</v>
      </c>
      <c r="Q21" s="2"/>
      <c r="R21" s="4" t="str">
        <f>IF(8&lt;=$G$8,IF(ISNUMBER(J13),TEXT(J13,"mmm-yy"),""),"")</f>
        <v>Aug-26</v>
      </c>
      <c r="S21" s="24">
        <f>IF(ISNUMBER(J17),J17,NA())</f>
        <v>65000</v>
      </c>
      <c r="T21" s="24">
        <f>IF(ISNUMBER(J39),J39,NA())</f>
        <v>13367</v>
      </c>
    </row>
    <row r="22" spans="1:20" ht="21.95" customHeight="1">
      <c r="A22" s="2"/>
      <c r="B22" s="13" t="s">
        <v>136</v>
      </c>
      <c r="C22" s="16">
        <f>IF(AND(AND(ISNUMBER($C$8),$C$8&gt;0,ISNUMBER($G$8),$G$8&gt;=1,$G$8&lt;=12,MOD($G$8,1)=0),1&lt;=$G$8),IF(COUNT(C19:C21)=3,SUM(C19:C21),""),"")</f>
        <v>21120</v>
      </c>
      <c r="D22" s="16">
        <f>IF(AND(AND(ISNUMBER($C$8),$C$8&gt;0,ISNUMBER($G$8),$G$8&gt;=1,$G$8&lt;=12,MOD($G$8,1)=0),2&lt;=$G$8),IF(COUNT(D19:D21)=3,SUM(D19:D21),""),"")</f>
        <v>22675</v>
      </c>
      <c r="E22" s="16">
        <f>IF(AND(AND(ISNUMBER($C$8),$C$8&gt;0,ISNUMBER($G$8),$G$8&gt;=1,$G$8&lt;=12,MOD($G$8,1)=0),3&lt;=$G$8),IF(COUNT(E19:E21)=3,SUM(E19:E21),""),"")</f>
        <v>24258</v>
      </c>
      <c r="F22" s="16">
        <f>IF(AND(AND(ISNUMBER($C$8),$C$8&gt;0,ISNUMBER($G$8),$G$8&gt;=1,$G$8&lt;=12,MOD($G$8,1)=0),4&lt;=$G$8),IF(COUNT(F19:F21)=3,SUM(F19:F21),""),"")</f>
        <v>22692</v>
      </c>
      <c r="G22" s="16">
        <f>IF(AND(AND(ISNUMBER($C$8),$C$8&gt;0,ISNUMBER($G$8),$G$8&gt;=1,$G$8&lt;=12,MOD($G$8,1)=0),5&lt;=$G$8),IF(COUNT(G19:G21)=3,SUM(G19:G21),""),"")</f>
        <v>26131</v>
      </c>
      <c r="H22" s="16">
        <f>IF(AND(AND(ISNUMBER($C$8),$C$8&gt;0,ISNUMBER($G$8),$G$8&gt;=1,$G$8&lt;=12,MOD($G$8,1)=0),6&lt;=$G$8),IF(COUNT(H19:H21)=3,SUM(H19:H21),""),"")</f>
        <v>27783</v>
      </c>
      <c r="I22" s="16">
        <f>IF(AND(AND(ISNUMBER($C$8),$C$8&gt;0,ISNUMBER($G$8),$G$8&gt;=1,$G$8&lt;=12,MOD($G$8,1)=0),7&lt;=$G$8),IF(COUNT(I19:I21)=3,SUM(I19:I21),""),"")</f>
        <v>28995</v>
      </c>
      <c r="J22" s="16">
        <f>IF(AND(AND(ISNUMBER($C$8),$C$8&gt;0,ISNUMBER($G$8),$G$8&gt;=1,$G$8&lt;=12,MOD($G$8,1)=0),8&lt;=$G$8),IF(COUNT(J19:J21)=3,SUM(J19:J21),""),"")</f>
        <v>30698</v>
      </c>
      <c r="K22" s="16">
        <f>IF(AND(AND(ISNUMBER($C$8),$C$8&gt;0,ISNUMBER($G$8),$G$8&gt;=1,$G$8&lt;=12,MOD($G$8,1)=0),9&lt;=$G$8),IF(COUNT(K19:K21)=3,SUM(K19:K21),""),"")</f>
        <v>32427</v>
      </c>
      <c r="L22" s="16">
        <f>IF(AND(AND(ISNUMBER($C$8),$C$8&gt;0,ISNUMBER($G$8),$G$8&gt;=1,$G$8&lt;=12,MOD($G$8,1)=0),10&lt;=$G$8),IF(COUNT(L19:L21)=3,SUM(L19:L21),""),"")</f>
        <v>31778</v>
      </c>
      <c r="M22" s="16">
        <f>IF(AND(AND(ISNUMBER($C$8),$C$8&gt;0,ISNUMBER($G$8),$G$8&gt;=1,$G$8&lt;=12,MOD($G$8,1)=0),11&lt;=$G$8),IF(COUNT(M19:M21)=3,SUM(M19:M21),""),"")</f>
        <v>34999</v>
      </c>
      <c r="N22" s="16">
        <f>IF(AND(AND(ISNUMBER($C$8),$C$8&gt;0,ISNUMBER($G$8),$G$8&gt;=1,$G$8&lt;=12,MOD($G$8,1)=0),12&lt;=$G$8),IF(COUNT(N19:N21)=3,SUM(N19:N21),""),"")</f>
        <v>37294</v>
      </c>
      <c r="O22" s="2"/>
      <c r="P22" s="16">
        <f>IF(COUNT(P19:P21)=3,SUM(P19:P21),"")</f>
        <v>340850</v>
      </c>
      <c r="Q22" s="2"/>
      <c r="R22" s="4" t="str">
        <f>IF(9&lt;=$G$8,IF(ISNUMBER(K13),TEXT(K13,"mmm-yy"),""),"")</f>
        <v>Sep-26</v>
      </c>
      <c r="S22" s="24">
        <f>IF(ISNUMBER(K17),K17,NA())</f>
        <v>68000</v>
      </c>
      <c r="T22" s="24">
        <f>IF(ISNUMBER(K39),K39,NA())</f>
        <v>14183</v>
      </c>
    </row>
    <row r="23" spans="1:20" ht="21.95" customHeight="1">
      <c r="A23" s="2"/>
      <c r="B23" s="13" t="s">
        <v>63</v>
      </c>
      <c r="C23" s="16">
        <f>IF(AND(AND(ISNUMBER($C$8),$C$8&gt;0,ISNUMBER($G$8),$G$8&gt;=1,$G$8&lt;=12,MOD($G$8,1)=0),1&lt;=$G$8),IF(COUNT(C17,C22)=2,C17-C22,""),"")</f>
        <v>26880</v>
      </c>
      <c r="D23" s="16">
        <f>IF(AND(AND(ISNUMBER($C$8),$C$8&gt;0,ISNUMBER($G$8),$G$8&gt;=1,$G$8&lt;=12,MOD($G$8,1)=0),2&lt;=$G$8),IF(COUNT(D17,D22)=2,D17-D22,""),"")</f>
        <v>28325</v>
      </c>
      <c r="E23" s="16">
        <f>IF(AND(AND(ISNUMBER($C$8),$C$8&gt;0,ISNUMBER($G$8),$G$8&gt;=1,$G$8&lt;=12,MOD($G$8,1)=0),3&lt;=$G$8),IF(COUNT(E17,E22)=2,E17-E22,""),"")</f>
        <v>29742</v>
      </c>
      <c r="F23" s="16">
        <f>IF(AND(AND(ISNUMBER($C$8),$C$8&gt;0,ISNUMBER($G$8),$G$8&gt;=1,$G$8&lt;=12,MOD($G$8,1)=0),4&lt;=$G$8),IF(COUNT(F17,F22)=2,F17-F22,""),"")</f>
        <v>27308</v>
      </c>
      <c r="G23" s="16">
        <f>IF(AND(AND(ISNUMBER($C$8),$C$8&gt;0,ISNUMBER($G$8),$G$8&gt;=1,$G$8&lt;=12,MOD($G$8,1)=0),5&lt;=$G$8),IF(COUNT(G17,G22)=2,G17-G22,""),"")</f>
        <v>30869</v>
      </c>
      <c r="H23" s="16">
        <f>IF(AND(AND(ISNUMBER($C$8),$C$8&gt;0,ISNUMBER($G$8),$G$8&gt;=1,$G$8&lt;=12,MOD($G$8,1)=0),6&lt;=$G$8),IF(COUNT(H17,H22)=2,H17-H22,""),"")</f>
        <v>32217</v>
      </c>
      <c r="I23" s="16">
        <f>IF(AND(AND(ISNUMBER($C$8),$C$8&gt;0,ISNUMBER($G$8),$G$8&gt;=1,$G$8&lt;=12,MOD($G$8,1)=0),7&lt;=$G$8),IF(COUNT(I17,I22)=2,I17-I22,""),"")</f>
        <v>33005</v>
      </c>
      <c r="J23" s="16">
        <f>IF(AND(AND(ISNUMBER($C$8),$C$8&gt;0,ISNUMBER($G$8),$G$8&gt;=1,$G$8&lt;=12,MOD($G$8,1)=0),8&lt;=$G$8),IF(COUNT(J17,J22)=2,J17-J22,""),"")</f>
        <v>34302</v>
      </c>
      <c r="K23" s="16">
        <f>IF(AND(AND(ISNUMBER($C$8),$C$8&gt;0,ISNUMBER($G$8),$G$8&gt;=1,$G$8&lt;=12,MOD($G$8,1)=0),9&lt;=$G$8),IF(COUNT(K17,K22)=2,K17-K22,""),"")</f>
        <v>35573</v>
      </c>
      <c r="L23" s="16">
        <f>IF(AND(AND(ISNUMBER($C$8),$C$8&gt;0,ISNUMBER($G$8),$G$8&gt;=1,$G$8&lt;=12,MOD($G$8,1)=0),10&lt;=$G$8),IF(COUNT(L17,L22)=2,L17-L22,""),"")</f>
        <v>34222</v>
      </c>
      <c r="M23" s="16">
        <f>IF(AND(AND(ISNUMBER($C$8),$C$8&gt;0,ISNUMBER($G$8),$G$8&gt;=1,$G$8&lt;=12,MOD($G$8,1)=0),11&lt;=$G$8),IF(COUNT(M17,M22)=2,M17-M22,""),"")</f>
        <v>37001</v>
      </c>
      <c r="N23" s="16">
        <f>IF(AND(AND(ISNUMBER($C$8),$C$8&gt;0,ISNUMBER($G$8),$G$8&gt;=1,$G$8&lt;=12,MOD($G$8,1)=0),12&lt;=$G$8),IF(COUNT(N17,N22)=2,N17-N22,""),"")</f>
        <v>38706</v>
      </c>
      <c r="O23" s="2"/>
      <c r="P23" s="16">
        <f>IF(COUNT(P17,P22)=2,P17-P22,"")</f>
        <v>388150</v>
      </c>
      <c r="Q23" s="2"/>
      <c r="R23" s="4" t="str">
        <f>IF(10&lt;=$G$8,IF(ISNUMBER(L13),TEXT(L13,"mmm-yy"),""),"")</f>
        <v>Oct-26</v>
      </c>
      <c r="S23" s="24">
        <f>IF(ISNUMBER(L17),L17,NA())</f>
        <v>66000</v>
      </c>
      <c r="T23" s="24">
        <f>IF(ISNUMBER(L39),L39,NA())</f>
        <v>12727</v>
      </c>
    </row>
    <row r="24" spans="1:20" ht="21.95" customHeight="1">
      <c r="A24" s="2"/>
      <c r="B24" s="21" t="s">
        <v>64</v>
      </c>
      <c r="C24" s="22">
        <f t="shared" ref="C24:N24" si="0">IF(COUNT(C23,C17)=2,IF(C17&gt;0,C23/C17,"n.a."),"")</f>
        <v>0.56000000000000005</v>
      </c>
      <c r="D24" s="22">
        <f t="shared" si="0"/>
        <v>0.55539215686274512</v>
      </c>
      <c r="E24" s="22">
        <f t="shared" si="0"/>
        <v>0.55077777777777781</v>
      </c>
      <c r="F24" s="22">
        <f t="shared" si="0"/>
        <v>0.54615999999999998</v>
      </c>
      <c r="G24" s="22">
        <f t="shared" si="0"/>
        <v>0.54156140350877191</v>
      </c>
      <c r="H24" s="22">
        <f t="shared" si="0"/>
        <v>0.53695000000000004</v>
      </c>
      <c r="I24" s="22">
        <f t="shared" si="0"/>
        <v>0.53233870967741936</v>
      </c>
      <c r="J24" s="22">
        <f t="shared" si="0"/>
        <v>0.52772307692307696</v>
      </c>
      <c r="K24" s="22">
        <f t="shared" si="0"/>
        <v>0.52313235294117644</v>
      </c>
      <c r="L24" s="22">
        <f t="shared" si="0"/>
        <v>0.51851515151515148</v>
      </c>
      <c r="M24" s="22">
        <f t="shared" si="0"/>
        <v>0.51390277777777782</v>
      </c>
      <c r="N24" s="22">
        <f t="shared" si="0"/>
        <v>0.50928947368421051</v>
      </c>
      <c r="O24" s="2"/>
      <c r="P24" s="23">
        <f>IF(COUNT(P23,P17)=2,IF(P17&gt;0,P23/P17,"n.a."),"")</f>
        <v>0.53244170096021948</v>
      </c>
      <c r="Q24" s="2"/>
      <c r="R24" s="4" t="str">
        <f>IF(11&lt;=$G$8,IF(ISNUMBER(M13),TEXT(M13,"mmm-yy"),""),"")</f>
        <v>Nov-26</v>
      </c>
      <c r="S24" s="24">
        <f>IF(ISNUMBER(M17),M17,NA())</f>
        <v>72000</v>
      </c>
      <c r="T24" s="24">
        <f>IF(ISNUMBER(M39),M39,NA())</f>
        <v>15351</v>
      </c>
    </row>
    <row r="25" spans="1:20" ht="21.95" customHeight="1">
      <c r="A25" s="2"/>
      <c r="B25" s="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2"/>
      <c r="P25" s="15"/>
      <c r="Q25" s="2"/>
      <c r="R25" s="4" t="str">
        <f>IF(12&lt;=$G$8,IF(ISNUMBER(N13),TEXT(N13,"mmm-yy"),""),"")</f>
        <v>Dec-26</v>
      </c>
      <c r="S25" s="24">
        <f>IF(ISNUMBER(N17),N17,NA())</f>
        <v>76000</v>
      </c>
      <c r="T25" s="24">
        <f>IF(ISNUMBER(N39),N39,NA())</f>
        <v>16401</v>
      </c>
    </row>
    <row r="26" spans="1:20" ht="21.95" customHeight="1">
      <c r="A26" s="2"/>
      <c r="B26" s="9" t="s">
        <v>137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2"/>
      <c r="P26" s="15"/>
      <c r="Q26" s="2"/>
      <c r="R26" s="2"/>
      <c r="S26" s="2"/>
      <c r="T26" s="2"/>
    </row>
    <row r="27" spans="1:20" ht="21.95" customHeight="1">
      <c r="A27" s="2"/>
      <c r="B27" s="2" t="s">
        <v>138</v>
      </c>
      <c r="C27" s="40">
        <v>10000</v>
      </c>
      <c r="D27" s="40">
        <v>10150</v>
      </c>
      <c r="E27" s="40">
        <v>10300</v>
      </c>
      <c r="F27" s="40">
        <v>10450</v>
      </c>
      <c r="G27" s="40">
        <v>10600</v>
      </c>
      <c r="H27" s="40">
        <v>10750</v>
      </c>
      <c r="I27" s="40">
        <v>10900</v>
      </c>
      <c r="J27" s="40">
        <v>11050</v>
      </c>
      <c r="K27" s="40">
        <v>11200</v>
      </c>
      <c r="L27" s="40">
        <v>11350</v>
      </c>
      <c r="M27" s="40">
        <v>11500</v>
      </c>
      <c r="N27" s="40">
        <v>11650</v>
      </c>
      <c r="O27" s="2"/>
      <c r="P27" s="18">
        <f>IF(AND(ISNUMBER($C$8),$C$8&gt;0,ISNUMBER($G$8),$G$8&gt;=1,$G$8&lt;=12,MOD($G$8,1)=0),IF(COUNT(C27:INDEX(C27:N27,1,$G$8))=$G$8,SUM(C27:INDEX(C27:N27,1,$G$8)),""),"")</f>
        <v>129900</v>
      </c>
      <c r="Q27" s="2"/>
      <c r="R27" s="2"/>
      <c r="S27" s="2"/>
      <c r="T27" s="2"/>
    </row>
    <row r="28" spans="1:20" ht="21.95" customHeight="1">
      <c r="A28" s="2"/>
      <c r="B28" s="2" t="s">
        <v>139</v>
      </c>
      <c r="C28" s="40">
        <v>3200</v>
      </c>
      <c r="D28" s="40">
        <v>3200</v>
      </c>
      <c r="E28" s="40">
        <v>3200</v>
      </c>
      <c r="F28" s="40">
        <v>3200</v>
      </c>
      <c r="G28" s="40">
        <v>3200</v>
      </c>
      <c r="H28" s="40">
        <v>3200</v>
      </c>
      <c r="I28" s="40">
        <v>3200</v>
      </c>
      <c r="J28" s="40">
        <v>3200</v>
      </c>
      <c r="K28" s="40">
        <v>3200</v>
      </c>
      <c r="L28" s="40">
        <v>3200</v>
      </c>
      <c r="M28" s="40">
        <v>3200</v>
      </c>
      <c r="N28" s="40">
        <v>3200</v>
      </c>
      <c r="O28" s="2"/>
      <c r="P28" s="18">
        <f>IF(AND(ISNUMBER($C$8),$C$8&gt;0,ISNUMBER($G$8),$G$8&gt;=1,$G$8&lt;=12,MOD($G$8,1)=0),IF(COUNT(C28:INDEX(C28:N28,1,$G$8))=$G$8,SUM(C28:INDEX(C28:N28,1,$G$8)),""),"")</f>
        <v>38400</v>
      </c>
      <c r="Q28" s="2"/>
      <c r="R28" s="2"/>
      <c r="S28" s="2"/>
      <c r="T28" s="2"/>
    </row>
    <row r="29" spans="1:20" ht="21.95" customHeight="1">
      <c r="A29" s="2"/>
      <c r="B29" s="2" t="s">
        <v>140</v>
      </c>
      <c r="C29" s="40">
        <v>1800</v>
      </c>
      <c r="D29" s="40">
        <v>1875</v>
      </c>
      <c r="E29" s="40">
        <v>1950</v>
      </c>
      <c r="F29" s="40">
        <v>2025</v>
      </c>
      <c r="G29" s="40">
        <v>2100</v>
      </c>
      <c r="H29" s="40">
        <v>2175</v>
      </c>
      <c r="I29" s="40">
        <v>2250</v>
      </c>
      <c r="J29" s="40">
        <v>2325</v>
      </c>
      <c r="K29" s="40">
        <v>2400</v>
      </c>
      <c r="L29" s="40">
        <v>2475</v>
      </c>
      <c r="M29" s="40">
        <v>2550</v>
      </c>
      <c r="N29" s="40">
        <v>2625</v>
      </c>
      <c r="O29" s="2"/>
      <c r="P29" s="18">
        <f>IF(AND(ISNUMBER($C$8),$C$8&gt;0,ISNUMBER($G$8),$G$8&gt;=1,$G$8&lt;=12,MOD($G$8,1)=0),IF(COUNT(C29:INDEX(C29:N29,1,$G$8))=$G$8,SUM(C29:INDEX(C29:N29,1,$G$8)),""),"")</f>
        <v>26550</v>
      </c>
      <c r="Q29" s="2"/>
      <c r="R29" s="2"/>
      <c r="S29" s="2"/>
      <c r="T29" s="2"/>
    </row>
    <row r="30" spans="1:20" ht="21.95" customHeight="1">
      <c r="A30" s="2"/>
      <c r="B30" s="2" t="s">
        <v>141</v>
      </c>
      <c r="C30" s="40">
        <v>600</v>
      </c>
      <c r="D30" s="40">
        <v>620</v>
      </c>
      <c r="E30" s="40">
        <v>640</v>
      </c>
      <c r="F30" s="40">
        <v>660</v>
      </c>
      <c r="G30" s="40">
        <v>680</v>
      </c>
      <c r="H30" s="40">
        <v>700</v>
      </c>
      <c r="I30" s="40">
        <v>720</v>
      </c>
      <c r="J30" s="40">
        <v>740</v>
      </c>
      <c r="K30" s="40">
        <v>760</v>
      </c>
      <c r="L30" s="40">
        <v>780</v>
      </c>
      <c r="M30" s="40">
        <v>800</v>
      </c>
      <c r="N30" s="40">
        <v>820</v>
      </c>
      <c r="O30" s="2"/>
      <c r="P30" s="18">
        <f>IF(AND(ISNUMBER($C$8),$C$8&gt;0,ISNUMBER($G$8),$G$8&gt;=1,$G$8&lt;=12,MOD($G$8,1)=0),IF(COUNT(C30:INDEX(C30:N30,1,$G$8))=$G$8,SUM(C30:INDEX(C30:N30,1,$G$8)),""),"")</f>
        <v>8520</v>
      </c>
      <c r="Q30" s="2"/>
      <c r="R30" s="2"/>
      <c r="S30" s="2"/>
      <c r="T30" s="2"/>
    </row>
    <row r="31" spans="1:20" ht="21.95" customHeight="1">
      <c r="A31" s="2"/>
      <c r="B31" s="2" t="s">
        <v>66</v>
      </c>
      <c r="C31" s="43">
        <v>900</v>
      </c>
      <c r="D31" s="43">
        <v>900</v>
      </c>
      <c r="E31" s="43">
        <v>900</v>
      </c>
      <c r="F31" s="43">
        <v>900</v>
      </c>
      <c r="G31" s="43">
        <v>900</v>
      </c>
      <c r="H31" s="43">
        <v>900</v>
      </c>
      <c r="I31" s="43">
        <v>1050</v>
      </c>
      <c r="J31" s="43">
        <v>1050</v>
      </c>
      <c r="K31" s="43">
        <v>1050</v>
      </c>
      <c r="L31" s="43">
        <v>1050</v>
      </c>
      <c r="M31" s="43">
        <v>1050</v>
      </c>
      <c r="N31" s="43">
        <v>1050</v>
      </c>
      <c r="O31" s="2"/>
      <c r="P31" s="18">
        <f>IF(AND(ISNUMBER($C$8),$C$8&gt;0,ISNUMBER($G$8),$G$8&gt;=1,$G$8&lt;=12,MOD($G$8,1)=0),IF(COUNT(C31:INDEX(C31:N31,1,$G$8))=$G$8,SUM(C31:INDEX(C31:N31,1,$G$8)),""),"")</f>
        <v>11700</v>
      </c>
      <c r="Q31" s="2"/>
      <c r="R31" s="2"/>
      <c r="S31" s="2"/>
      <c r="T31" s="2"/>
    </row>
    <row r="32" spans="1:20" ht="21.95" customHeight="1">
      <c r="A32" s="2"/>
      <c r="B32" s="2" t="s">
        <v>142</v>
      </c>
      <c r="C32" s="40">
        <v>600</v>
      </c>
      <c r="D32" s="40">
        <v>600</v>
      </c>
      <c r="E32" s="40">
        <v>600</v>
      </c>
      <c r="F32" s="40">
        <v>550</v>
      </c>
      <c r="G32" s="40">
        <v>550</v>
      </c>
      <c r="H32" s="40">
        <v>550</v>
      </c>
      <c r="I32" s="40">
        <v>550</v>
      </c>
      <c r="J32" s="40">
        <v>550</v>
      </c>
      <c r="K32" s="40">
        <v>550</v>
      </c>
      <c r="L32" s="40">
        <v>550</v>
      </c>
      <c r="M32" s="40">
        <v>600</v>
      </c>
      <c r="N32" s="40">
        <v>600</v>
      </c>
      <c r="O32" s="2"/>
      <c r="P32" s="18">
        <f>IF(AND(ISNUMBER($C$8),$C$8&gt;0,ISNUMBER($G$8),$G$8&gt;=1,$G$8&lt;=12,MOD($G$8,1)=0),IF(COUNT(C32:INDEX(C32:N32,1,$G$8))=$G$8,SUM(C32:INDEX(C32:N32,1,$G$8)),""),"")</f>
        <v>6850</v>
      </c>
      <c r="Q32" s="2"/>
      <c r="R32" s="2"/>
      <c r="S32" s="2"/>
      <c r="T32" s="2"/>
    </row>
    <row r="33" spans="1:20" ht="21.95" customHeight="1">
      <c r="A33" s="2"/>
      <c r="B33" s="2" t="s">
        <v>143</v>
      </c>
      <c r="C33" s="40">
        <v>400</v>
      </c>
      <c r="D33" s="40">
        <v>400</v>
      </c>
      <c r="E33" s="40">
        <v>400</v>
      </c>
      <c r="F33" s="40">
        <v>400</v>
      </c>
      <c r="G33" s="40">
        <v>400</v>
      </c>
      <c r="H33" s="40">
        <v>400</v>
      </c>
      <c r="I33" s="40">
        <v>400</v>
      </c>
      <c r="J33" s="40">
        <v>400</v>
      </c>
      <c r="K33" s="40">
        <v>400</v>
      </c>
      <c r="L33" s="40">
        <v>400</v>
      </c>
      <c r="M33" s="40">
        <v>400</v>
      </c>
      <c r="N33" s="40">
        <v>400</v>
      </c>
      <c r="O33" s="2"/>
      <c r="P33" s="18">
        <f>IF(AND(ISNUMBER($C$8),$C$8&gt;0,ISNUMBER($G$8),$G$8&gt;=1,$G$8&lt;=12,MOD($G$8,1)=0),IF(COUNT(C33:INDEX(C33:N33,1,$G$8))=$G$8,SUM(C33:INDEX(C33:N33,1,$G$8)),""),"")</f>
        <v>4800</v>
      </c>
      <c r="Q33" s="2"/>
      <c r="R33" s="2"/>
      <c r="S33" s="2"/>
      <c r="T33" s="2"/>
    </row>
    <row r="34" spans="1:20" ht="21.95" customHeight="1">
      <c r="A34" s="2"/>
      <c r="B34" s="2" t="s">
        <v>144</v>
      </c>
      <c r="C34" s="40">
        <v>250</v>
      </c>
      <c r="D34" s="40">
        <v>100</v>
      </c>
      <c r="E34" s="40">
        <v>450</v>
      </c>
      <c r="F34" s="40">
        <v>200</v>
      </c>
      <c r="G34" s="40">
        <v>250</v>
      </c>
      <c r="H34" s="40">
        <v>600</v>
      </c>
      <c r="I34" s="40">
        <v>150</v>
      </c>
      <c r="J34" s="40">
        <v>200</v>
      </c>
      <c r="K34" s="40">
        <v>400</v>
      </c>
      <c r="L34" s="40">
        <v>250</v>
      </c>
      <c r="M34" s="40">
        <v>100</v>
      </c>
      <c r="N34" s="40">
        <v>500</v>
      </c>
      <c r="O34" s="2"/>
      <c r="P34" s="18">
        <f>IF(AND(ISNUMBER($C$8),$C$8&gt;0,ISNUMBER($G$8),$G$8&gt;=1,$G$8&lt;=12,MOD($G$8,1)=0),IF(COUNT(C34:INDEX(C34:N34,1,$G$8))=$G$8,SUM(C34:INDEX(C34:N34,1,$G$8)),""),"")</f>
        <v>3450</v>
      </c>
      <c r="Q34" s="2"/>
      <c r="R34" s="2"/>
      <c r="S34" s="2"/>
      <c r="T34" s="2"/>
    </row>
    <row r="35" spans="1:20" ht="21.95" customHeight="1">
      <c r="A35" s="2"/>
      <c r="B35" s="2" t="s">
        <v>145</v>
      </c>
      <c r="C35" s="40">
        <v>400</v>
      </c>
      <c r="D35" s="40">
        <v>410</v>
      </c>
      <c r="E35" s="40">
        <v>420</v>
      </c>
      <c r="F35" s="40">
        <v>430</v>
      </c>
      <c r="G35" s="40">
        <v>440</v>
      </c>
      <c r="H35" s="40">
        <v>450</v>
      </c>
      <c r="I35" s="40">
        <v>460</v>
      </c>
      <c r="J35" s="40">
        <v>470</v>
      </c>
      <c r="K35" s="40">
        <v>480</v>
      </c>
      <c r="L35" s="40">
        <v>490</v>
      </c>
      <c r="M35" s="40">
        <v>500</v>
      </c>
      <c r="N35" s="40">
        <v>510</v>
      </c>
      <c r="O35" s="2"/>
      <c r="P35" s="18">
        <f>IF(AND(ISNUMBER($C$8),$C$8&gt;0,ISNUMBER($G$8),$G$8&gt;=1,$G$8&lt;=12,MOD($G$8,1)=0),IF(COUNT(C35:INDEX(C35:N35,1,$G$8))=$G$8,SUM(C35:INDEX(C35:N35,1,$G$8)),""),"")</f>
        <v>5460</v>
      </c>
      <c r="Q35" s="2"/>
      <c r="R35" s="2"/>
      <c r="S35" s="2"/>
      <c r="T35" s="2"/>
    </row>
    <row r="36" spans="1:20" ht="21.95" customHeight="1">
      <c r="A36" s="2"/>
      <c r="B36" s="2" t="s">
        <v>146</v>
      </c>
      <c r="C36" s="40">
        <v>600</v>
      </c>
      <c r="D36" s="40">
        <v>600</v>
      </c>
      <c r="E36" s="40">
        <v>600</v>
      </c>
      <c r="F36" s="40">
        <v>600</v>
      </c>
      <c r="G36" s="40">
        <v>600</v>
      </c>
      <c r="H36" s="40">
        <v>600</v>
      </c>
      <c r="I36" s="40">
        <v>600</v>
      </c>
      <c r="J36" s="40">
        <v>600</v>
      </c>
      <c r="K36" s="40">
        <v>600</v>
      </c>
      <c r="L36" s="40">
        <v>600</v>
      </c>
      <c r="M36" s="40">
        <v>600</v>
      </c>
      <c r="N36" s="40">
        <v>600</v>
      </c>
      <c r="O36" s="2"/>
      <c r="P36" s="18">
        <f>IF(AND(ISNUMBER($C$8),$C$8&gt;0,ISNUMBER($G$8),$G$8&gt;=1,$G$8&lt;=12,MOD($G$8,1)=0),IF(COUNT(C36:INDEX(C36:N36,1,$G$8))=$G$8,SUM(C36:INDEX(C36:N36,1,$G$8)),""),"")</f>
        <v>7200</v>
      </c>
      <c r="Q36" s="2"/>
      <c r="R36" s="2"/>
      <c r="S36" s="2"/>
      <c r="T36" s="2"/>
    </row>
    <row r="37" spans="1:20" ht="21.95" customHeight="1">
      <c r="A37" s="2"/>
      <c r="B37" s="2" t="s">
        <v>147</v>
      </c>
      <c r="C37" s="40">
        <v>350</v>
      </c>
      <c r="D37" s="40">
        <v>350</v>
      </c>
      <c r="E37" s="40">
        <v>350</v>
      </c>
      <c r="F37" s="40">
        <v>350</v>
      </c>
      <c r="G37" s="40">
        <v>350</v>
      </c>
      <c r="H37" s="40">
        <v>350</v>
      </c>
      <c r="I37" s="40">
        <v>350</v>
      </c>
      <c r="J37" s="40">
        <v>350</v>
      </c>
      <c r="K37" s="40">
        <v>350</v>
      </c>
      <c r="L37" s="40">
        <v>350</v>
      </c>
      <c r="M37" s="40">
        <v>350</v>
      </c>
      <c r="N37" s="40">
        <v>350</v>
      </c>
      <c r="O37" s="2"/>
      <c r="P37" s="18">
        <f>IF(AND(ISNUMBER($C$8),$C$8&gt;0,ISNUMBER($G$8),$G$8&gt;=1,$G$8&lt;=12,MOD($G$8,1)=0),IF(COUNT(C37:INDEX(C37:N37,1,$G$8))=$G$8,SUM(C37:INDEX(C37:N37,1,$G$8)),""),"")</f>
        <v>4200</v>
      </c>
      <c r="Q37" s="2"/>
      <c r="R37" s="2"/>
      <c r="S37" s="2"/>
      <c r="T37" s="2"/>
    </row>
    <row r="38" spans="1:20" ht="21.95" customHeight="1">
      <c r="A38" s="2"/>
      <c r="B38" s="13" t="s">
        <v>69</v>
      </c>
      <c r="C38" s="16">
        <f>IF(AND(AND(ISNUMBER($C$8),$C$8&gt;0,ISNUMBER($G$8),$G$8&gt;=1,$G$8&lt;=12,MOD($G$8,1)=0),1&lt;=$G$8),IF(COUNT(C27:C37)=11,SUM(C27:C37),""),"")</f>
        <v>19100</v>
      </c>
      <c r="D38" s="16">
        <f>IF(AND(AND(ISNUMBER($C$8),$C$8&gt;0,ISNUMBER($G$8),$G$8&gt;=1,$G$8&lt;=12,MOD($G$8,1)=0),2&lt;=$G$8),IF(COUNT(D27:D37)=11,SUM(D27:D37),""),"")</f>
        <v>19205</v>
      </c>
      <c r="E38" s="16">
        <f>IF(AND(AND(ISNUMBER($C$8),$C$8&gt;0,ISNUMBER($G$8),$G$8&gt;=1,$G$8&lt;=12,MOD($G$8,1)=0),3&lt;=$G$8),IF(COUNT(E27:E37)=11,SUM(E27:E37),""),"")</f>
        <v>19810</v>
      </c>
      <c r="F38" s="16">
        <f>IF(AND(AND(ISNUMBER($C$8),$C$8&gt;0,ISNUMBER($G$8),$G$8&gt;=1,$G$8&lt;=12,MOD($G$8,1)=0),4&lt;=$G$8),IF(COUNT(F27:F37)=11,SUM(F27:F37),""),"")</f>
        <v>19765</v>
      </c>
      <c r="G38" s="16">
        <f>IF(AND(AND(ISNUMBER($C$8),$C$8&gt;0,ISNUMBER($G$8),$G$8&gt;=1,$G$8&lt;=12,MOD($G$8,1)=0),5&lt;=$G$8),IF(COUNT(G27:G37)=11,SUM(G27:G37),""),"")</f>
        <v>20070</v>
      </c>
      <c r="H38" s="16">
        <f>IF(AND(AND(ISNUMBER($C$8),$C$8&gt;0,ISNUMBER($G$8),$G$8&gt;=1,$G$8&lt;=12,MOD($G$8,1)=0),6&lt;=$G$8),IF(COUNT(H27:H37)=11,SUM(H27:H37),""),"")</f>
        <v>20675</v>
      </c>
      <c r="I38" s="16">
        <f>IF(AND(AND(ISNUMBER($C$8),$C$8&gt;0,ISNUMBER($G$8),$G$8&gt;=1,$G$8&lt;=12,MOD($G$8,1)=0),7&lt;=$G$8),IF(COUNT(I27:I37)=11,SUM(I27:I37),""),"")</f>
        <v>20630</v>
      </c>
      <c r="J38" s="16">
        <f>IF(AND(AND(ISNUMBER($C$8),$C$8&gt;0,ISNUMBER($G$8),$G$8&gt;=1,$G$8&lt;=12,MOD($G$8,1)=0),8&lt;=$G$8),IF(COUNT(J27:J37)=11,SUM(J27:J37),""),"")</f>
        <v>20935</v>
      </c>
      <c r="K38" s="16">
        <f>IF(AND(AND(ISNUMBER($C$8),$C$8&gt;0,ISNUMBER($G$8),$G$8&gt;=1,$G$8&lt;=12,MOD($G$8,1)=0),9&lt;=$G$8),IF(COUNT(K27:K37)=11,SUM(K27:K37),""),"")</f>
        <v>21390</v>
      </c>
      <c r="L38" s="16">
        <f>IF(AND(AND(ISNUMBER($C$8),$C$8&gt;0,ISNUMBER($G$8),$G$8&gt;=1,$G$8&lt;=12,MOD($G$8,1)=0),10&lt;=$G$8),IF(COUNT(L27:L37)=11,SUM(L27:L37),""),"")</f>
        <v>21495</v>
      </c>
      <c r="M38" s="16">
        <f>IF(AND(AND(ISNUMBER($C$8),$C$8&gt;0,ISNUMBER($G$8),$G$8&gt;=1,$G$8&lt;=12,MOD($G$8,1)=0),11&lt;=$G$8),IF(COUNT(M27:M37)=11,SUM(M27:M37),""),"")</f>
        <v>21650</v>
      </c>
      <c r="N38" s="16">
        <f>IF(AND(AND(ISNUMBER($C$8),$C$8&gt;0,ISNUMBER($G$8),$G$8&gt;=1,$G$8&lt;=12,MOD($G$8,1)=0),12&lt;=$G$8),IF(COUNT(N27:N37)=11,SUM(N27:N37),""),"")</f>
        <v>22305</v>
      </c>
      <c r="O38" s="2"/>
      <c r="P38" s="16">
        <f>IF(COUNT(P27:P37)=11,SUM(P27:P37),"")</f>
        <v>247030</v>
      </c>
      <c r="Q38" s="2"/>
      <c r="R38" s="2"/>
      <c r="S38" s="2"/>
      <c r="T38" s="2"/>
    </row>
    <row r="39" spans="1:20" ht="21.95" customHeight="1">
      <c r="A39" s="2"/>
      <c r="B39" s="13" t="s">
        <v>70</v>
      </c>
      <c r="C39" s="16">
        <f>IF(AND(AND(ISNUMBER($C$8),$C$8&gt;0,ISNUMBER($G$8),$G$8&gt;=1,$G$8&lt;=12,MOD($G$8,1)=0),1&lt;=$G$8),IF(COUNT(C23,C38)=2,C23-C38,""),"")</f>
        <v>7780</v>
      </c>
      <c r="D39" s="16">
        <f>IF(AND(AND(ISNUMBER($C$8),$C$8&gt;0,ISNUMBER($G$8),$G$8&gt;=1,$G$8&lt;=12,MOD($G$8,1)=0),2&lt;=$G$8),IF(COUNT(D23,D38)=2,D23-D38,""),"")</f>
        <v>9120</v>
      </c>
      <c r="E39" s="16">
        <f>IF(AND(AND(ISNUMBER($C$8),$C$8&gt;0,ISNUMBER($G$8),$G$8&gt;=1,$G$8&lt;=12,MOD($G$8,1)=0),3&lt;=$G$8),IF(COUNT(E23,E38)=2,E23-E38,""),"")</f>
        <v>9932</v>
      </c>
      <c r="F39" s="16">
        <f>IF(AND(AND(ISNUMBER($C$8),$C$8&gt;0,ISNUMBER($G$8),$G$8&gt;=1,$G$8&lt;=12,MOD($G$8,1)=0),4&lt;=$G$8),IF(COUNT(F23,F38)=2,F23-F38,""),"")</f>
        <v>7543</v>
      </c>
      <c r="G39" s="16">
        <f>IF(AND(AND(ISNUMBER($C$8),$C$8&gt;0,ISNUMBER($G$8),$G$8&gt;=1,$G$8&lt;=12,MOD($G$8,1)=0),5&lt;=$G$8),IF(COUNT(G23,G38)=2,G23-G38,""),"")</f>
        <v>10799</v>
      </c>
      <c r="H39" s="16">
        <f>IF(AND(AND(ISNUMBER($C$8),$C$8&gt;0,ISNUMBER($G$8),$G$8&gt;=1,$G$8&lt;=12,MOD($G$8,1)=0),6&lt;=$G$8),IF(COUNT(H23,H38)=2,H23-H38,""),"")</f>
        <v>11542</v>
      </c>
      <c r="I39" s="16">
        <f>IF(AND(AND(ISNUMBER($C$8),$C$8&gt;0,ISNUMBER($G$8),$G$8&gt;=1,$G$8&lt;=12,MOD($G$8,1)=0),7&lt;=$G$8),IF(COUNT(I23,I38)=2,I23-I38,""),"")</f>
        <v>12375</v>
      </c>
      <c r="J39" s="16">
        <f>IF(AND(AND(ISNUMBER($C$8),$C$8&gt;0,ISNUMBER($G$8),$G$8&gt;=1,$G$8&lt;=12,MOD($G$8,1)=0),8&lt;=$G$8),IF(COUNT(J23,J38)=2,J23-J38,""),"")</f>
        <v>13367</v>
      </c>
      <c r="K39" s="16">
        <f>IF(AND(AND(ISNUMBER($C$8),$C$8&gt;0,ISNUMBER($G$8),$G$8&gt;=1,$G$8&lt;=12,MOD($G$8,1)=0),9&lt;=$G$8),IF(COUNT(K23,K38)=2,K23-K38,""),"")</f>
        <v>14183</v>
      </c>
      <c r="L39" s="16">
        <f>IF(AND(AND(ISNUMBER($C$8),$C$8&gt;0,ISNUMBER($G$8),$G$8&gt;=1,$G$8&lt;=12,MOD($G$8,1)=0),10&lt;=$G$8),IF(COUNT(L23,L38)=2,L23-L38,""),"")</f>
        <v>12727</v>
      </c>
      <c r="M39" s="16">
        <f>IF(AND(AND(ISNUMBER($C$8),$C$8&gt;0,ISNUMBER($G$8),$G$8&gt;=1,$G$8&lt;=12,MOD($G$8,1)=0),11&lt;=$G$8),IF(COUNT(M23,M38)=2,M23-M38,""),"")</f>
        <v>15351</v>
      </c>
      <c r="N39" s="16">
        <f>IF(AND(AND(ISNUMBER($C$8),$C$8&gt;0,ISNUMBER($G$8),$G$8&gt;=1,$G$8&lt;=12,MOD($G$8,1)=0),12&lt;=$G$8),IF(COUNT(N23,N38)=2,N23-N38,""),"")</f>
        <v>16401</v>
      </c>
      <c r="O39" s="2"/>
      <c r="P39" s="16">
        <f>IF(COUNT(P23,P38)=2,P23-P38,"")</f>
        <v>141120</v>
      </c>
      <c r="Q39" s="2"/>
      <c r="R39" s="2"/>
      <c r="S39" s="2"/>
      <c r="T39" s="2"/>
    </row>
    <row r="40" spans="1:20" ht="21.95" customHeight="1">
      <c r="A40" s="2"/>
      <c r="B40" s="21" t="s">
        <v>7</v>
      </c>
      <c r="C40" s="22">
        <f t="shared" ref="C40:N40" si="1">IF(COUNT(C39,C17)=2,IF(C17&gt;0,C39/C17,"n.a."),"")</f>
        <v>0.16208333333333333</v>
      </c>
      <c r="D40" s="22">
        <f t="shared" si="1"/>
        <v>0.17882352941176471</v>
      </c>
      <c r="E40" s="22">
        <f t="shared" si="1"/>
        <v>0.18392592592592594</v>
      </c>
      <c r="F40" s="22">
        <f t="shared" si="1"/>
        <v>0.15085999999999999</v>
      </c>
      <c r="G40" s="22">
        <f t="shared" si="1"/>
        <v>0.18945614035087718</v>
      </c>
      <c r="H40" s="22">
        <f t="shared" si="1"/>
        <v>0.19236666666666666</v>
      </c>
      <c r="I40" s="22">
        <f t="shared" si="1"/>
        <v>0.19959677419354838</v>
      </c>
      <c r="J40" s="22">
        <f t="shared" si="1"/>
        <v>0.20564615384615384</v>
      </c>
      <c r="K40" s="22">
        <f t="shared" si="1"/>
        <v>0.20857352941176471</v>
      </c>
      <c r="L40" s="22">
        <f t="shared" si="1"/>
        <v>0.19283333333333333</v>
      </c>
      <c r="M40" s="22">
        <f t="shared" si="1"/>
        <v>0.21320833333333333</v>
      </c>
      <c r="N40" s="22">
        <f t="shared" si="1"/>
        <v>0.21580263157894736</v>
      </c>
      <c r="O40" s="2"/>
      <c r="P40" s="23">
        <f>IF(COUNT(P39,P17)=2,IF(P17&gt;0,P39/P17,"n.a."),"")</f>
        <v>0.19358024691358025</v>
      </c>
      <c r="Q40" s="2"/>
      <c r="R40" s="2"/>
      <c r="S40" s="2"/>
      <c r="T40" s="2"/>
    </row>
    <row r="41" spans="1:20" ht="21.95" customHeight="1">
      <c r="A41" s="2"/>
      <c r="B41" s="2" t="s">
        <v>71</v>
      </c>
      <c r="C41" s="40">
        <v>180</v>
      </c>
      <c r="D41" s="40">
        <v>180</v>
      </c>
      <c r="E41" s="40">
        <v>180</v>
      </c>
      <c r="F41" s="40">
        <v>180</v>
      </c>
      <c r="G41" s="40">
        <v>180</v>
      </c>
      <c r="H41" s="40">
        <v>180</v>
      </c>
      <c r="I41" s="40">
        <v>180</v>
      </c>
      <c r="J41" s="40">
        <v>180</v>
      </c>
      <c r="K41" s="40">
        <v>180</v>
      </c>
      <c r="L41" s="40">
        <v>180</v>
      </c>
      <c r="M41" s="40">
        <v>180</v>
      </c>
      <c r="N41" s="40">
        <v>180</v>
      </c>
      <c r="O41" s="2"/>
      <c r="P41" s="18">
        <f>IF(AND(ISNUMBER($C$8),$C$8&gt;0,ISNUMBER($G$8),$G$8&gt;=1,$G$8&lt;=12,MOD($G$8,1)=0),IF(COUNT(C41:INDEX(C41:N41,1,$G$8))=$G$8,SUM(C41:INDEX(C41:N41,1,$G$8)),""),"")</f>
        <v>2160</v>
      </c>
      <c r="Q41" s="2"/>
      <c r="R41" s="2"/>
      <c r="S41" s="2"/>
      <c r="T41" s="2"/>
    </row>
    <row r="42" spans="1:20" ht="21.95" customHeight="1">
      <c r="A42" s="2"/>
      <c r="B42" s="10" t="s">
        <v>148</v>
      </c>
      <c r="C42" s="40">
        <v>0</v>
      </c>
      <c r="D42" s="40">
        <v>0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2"/>
      <c r="P42" s="18">
        <f>IF(AND(ISNUMBER($C$8),$C$8&gt;0,ISNUMBER($G$8),$G$8&gt;=1,$G$8&lt;=12,MOD($G$8,1)=0),IF(COUNT(C42:INDEX(C42:N42,1,$G$8))=$G$8,SUM(C42:INDEX(C42:N42,1,$G$8)),""),"")</f>
        <v>0</v>
      </c>
      <c r="Q42" s="2"/>
      <c r="R42" s="2"/>
      <c r="S42" s="2"/>
      <c r="T42" s="2"/>
    </row>
    <row r="43" spans="1:20" ht="21.95" customHeight="1">
      <c r="A43" s="2"/>
      <c r="B43" s="14" t="s">
        <v>6</v>
      </c>
      <c r="C43" s="17">
        <f>IF(AND(AND(ISNUMBER($C$8),$C$8&gt;0,ISNUMBER($G$8),$G$8&gt;=1,$G$8&lt;=12,MOD($G$8,1)=0),1&lt;=$G$8),IF(COUNT(C39,C41:C42)=3,C39-C41+C42,""),"")</f>
        <v>7600</v>
      </c>
      <c r="D43" s="17">
        <f>IF(AND(AND(ISNUMBER($C$8),$C$8&gt;0,ISNUMBER($G$8),$G$8&gt;=1,$G$8&lt;=12,MOD($G$8,1)=0),2&lt;=$G$8),IF(COUNT(D39,D41:D42)=3,D39-D41+D42,""),"")</f>
        <v>8940</v>
      </c>
      <c r="E43" s="17">
        <f>IF(AND(AND(ISNUMBER($C$8),$C$8&gt;0,ISNUMBER($G$8),$G$8&gt;=1,$G$8&lt;=12,MOD($G$8,1)=0),3&lt;=$G$8),IF(COUNT(E39,E41:E42)=3,E39-E41+E42,""),"")</f>
        <v>9752</v>
      </c>
      <c r="F43" s="17">
        <f>IF(AND(AND(ISNUMBER($C$8),$C$8&gt;0,ISNUMBER($G$8),$G$8&gt;=1,$G$8&lt;=12,MOD($G$8,1)=0),4&lt;=$G$8),IF(COUNT(F39,F41:F42)=3,F39-F41+F42,""),"")</f>
        <v>7363</v>
      </c>
      <c r="G43" s="17">
        <f>IF(AND(AND(ISNUMBER($C$8),$C$8&gt;0,ISNUMBER($G$8),$G$8&gt;=1,$G$8&lt;=12,MOD($G$8,1)=0),5&lt;=$G$8),IF(COUNT(G39,G41:G42)=3,G39-G41+G42,""),"")</f>
        <v>10619</v>
      </c>
      <c r="H43" s="17">
        <f>IF(AND(AND(ISNUMBER($C$8),$C$8&gt;0,ISNUMBER($G$8),$G$8&gt;=1,$G$8&lt;=12,MOD($G$8,1)=0),6&lt;=$G$8),IF(COUNT(H39,H41:H42)=3,H39-H41+H42,""),"")</f>
        <v>11362</v>
      </c>
      <c r="I43" s="17">
        <f>IF(AND(AND(ISNUMBER($C$8),$C$8&gt;0,ISNUMBER($G$8),$G$8&gt;=1,$G$8&lt;=12,MOD($G$8,1)=0),7&lt;=$G$8),IF(COUNT(I39,I41:I42)=3,I39-I41+I42,""),"")</f>
        <v>12195</v>
      </c>
      <c r="J43" s="17">
        <f>IF(AND(AND(ISNUMBER($C$8),$C$8&gt;0,ISNUMBER($G$8),$G$8&gt;=1,$G$8&lt;=12,MOD($G$8,1)=0),8&lt;=$G$8),IF(COUNT(J39,J41:J42)=3,J39-J41+J42,""),"")</f>
        <v>13187</v>
      </c>
      <c r="K43" s="17">
        <f>IF(AND(AND(ISNUMBER($C$8),$C$8&gt;0,ISNUMBER($G$8),$G$8&gt;=1,$G$8&lt;=12,MOD($G$8,1)=0),9&lt;=$G$8),IF(COUNT(K39,K41:K42)=3,K39-K41+K42,""),"")</f>
        <v>14003</v>
      </c>
      <c r="L43" s="17">
        <f>IF(AND(AND(ISNUMBER($C$8),$C$8&gt;0,ISNUMBER($G$8),$G$8&gt;=1,$G$8&lt;=12,MOD($G$8,1)=0),10&lt;=$G$8),IF(COUNT(L39,L41:L42)=3,L39-L41+L42,""),"")</f>
        <v>12547</v>
      </c>
      <c r="M43" s="17">
        <f>IF(AND(AND(ISNUMBER($C$8),$C$8&gt;0,ISNUMBER($G$8),$G$8&gt;=1,$G$8&lt;=12,MOD($G$8,1)=0),11&lt;=$G$8),IF(COUNT(M39,M41:M42)=3,M39-M41+M42,""),"")</f>
        <v>15171</v>
      </c>
      <c r="N43" s="17">
        <f>IF(AND(AND(ISNUMBER($C$8),$C$8&gt;0,ISNUMBER($G$8),$G$8&gt;=1,$G$8&lt;=12,MOD($G$8,1)=0),12&lt;=$G$8),IF(COUNT(N39,N41:N42)=3,N39-N41+N42,""),"")</f>
        <v>16221</v>
      </c>
      <c r="O43" s="2"/>
      <c r="P43" s="17">
        <f>IF(COUNT(P39,P41:P42)=3,P39-P41+P42,"")</f>
        <v>138960</v>
      </c>
      <c r="Q43" s="2"/>
      <c r="R43" s="2"/>
      <c r="S43" s="2"/>
      <c r="T43" s="2"/>
    </row>
    <row r="44" spans="1:20" ht="21.95" customHeight="1">
      <c r="A44" s="2"/>
      <c r="B44" s="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2"/>
      <c r="P44" s="2"/>
      <c r="Q44" s="2"/>
      <c r="R44" s="2"/>
      <c r="S44" s="2"/>
      <c r="T44" s="2"/>
    </row>
    <row r="45" spans="1:20" ht="32.1" customHeight="1">
      <c r="A45" s="2"/>
      <c r="B45" s="2" t="s">
        <v>149</v>
      </c>
      <c r="C45" s="19" t="str">
        <f>IF(AND(AND(ISNUMBER($C$8),$C$8&gt;0,ISNUMBER($G$8),$G$8&gt;=1,$G$8&lt;=12,MOD($G$8,1)=0),1&lt;=$G$8),IF(COUNT(C15,C16,C19,C20,C21,C27,C28,C29,C30,C31,C32,C33,C34,C35,C36,C37,C41,C42)=18,"Complete","Enter all 18 amounts"),"Not included")</f>
        <v>Complete</v>
      </c>
      <c r="D45" s="19" t="str">
        <f>IF(AND(AND(ISNUMBER($C$8),$C$8&gt;0,ISNUMBER($G$8),$G$8&gt;=1,$G$8&lt;=12,MOD($G$8,1)=0),2&lt;=$G$8),IF(COUNT(D15,D16,D19,D20,D21,D27,D28,D29,D30,D31,D32,D33,D34,D35,D36,D37,D41,D42)=18,"Complete","Enter all 18 amounts"),"Not included")</f>
        <v>Complete</v>
      </c>
      <c r="E45" s="19" t="str">
        <f>IF(AND(AND(ISNUMBER($C$8),$C$8&gt;0,ISNUMBER($G$8),$G$8&gt;=1,$G$8&lt;=12,MOD($G$8,1)=0),3&lt;=$G$8),IF(COUNT(E15,E16,E19,E20,E21,E27,E28,E29,E30,E31,E32,E33,E34,E35,E36,E37,E41,E42)=18,"Complete","Enter all 18 amounts"),"Not included")</f>
        <v>Complete</v>
      </c>
      <c r="F45" s="19" t="str">
        <f>IF(AND(AND(ISNUMBER($C$8),$C$8&gt;0,ISNUMBER($G$8),$G$8&gt;=1,$G$8&lt;=12,MOD($G$8,1)=0),4&lt;=$G$8),IF(COUNT(F15,F16,F19,F20,F21,F27,F28,F29,F30,F31,F32,F33,F34,F35,F36,F37,F41,F42)=18,"Complete","Enter all 18 amounts"),"Not included")</f>
        <v>Complete</v>
      </c>
      <c r="G45" s="19" t="str">
        <f>IF(AND(AND(ISNUMBER($C$8),$C$8&gt;0,ISNUMBER($G$8),$G$8&gt;=1,$G$8&lt;=12,MOD($G$8,1)=0),5&lt;=$G$8),IF(COUNT(G15,G16,G19,G20,G21,G27,G28,G29,G30,G31,G32,G33,G34,G35,G36,G37,G41,G42)=18,"Complete","Enter all 18 amounts"),"Not included")</f>
        <v>Complete</v>
      </c>
      <c r="H45" s="19" t="str">
        <f>IF(AND(AND(ISNUMBER($C$8),$C$8&gt;0,ISNUMBER($G$8),$G$8&gt;=1,$G$8&lt;=12,MOD($G$8,1)=0),6&lt;=$G$8),IF(COUNT(H15,H16,H19,H20,H21,H27,H28,H29,H30,H31,H32,H33,H34,H35,H36,H37,H41,H42)=18,"Complete","Enter all 18 amounts"),"Not included")</f>
        <v>Complete</v>
      </c>
      <c r="I45" s="19" t="str">
        <f>IF(AND(AND(ISNUMBER($C$8),$C$8&gt;0,ISNUMBER($G$8),$G$8&gt;=1,$G$8&lt;=12,MOD($G$8,1)=0),7&lt;=$G$8),IF(COUNT(I15,I16,I19,I20,I21,I27,I28,I29,I30,I31,I32,I33,I34,I35,I36,I37,I41,I42)=18,"Complete","Enter all 18 amounts"),"Not included")</f>
        <v>Complete</v>
      </c>
      <c r="J45" s="19" t="str">
        <f>IF(AND(AND(ISNUMBER($C$8),$C$8&gt;0,ISNUMBER($G$8),$G$8&gt;=1,$G$8&lt;=12,MOD($G$8,1)=0),8&lt;=$G$8),IF(COUNT(J15,J16,J19,J20,J21,J27,J28,J29,J30,J31,J32,J33,J34,J35,J36,J37,J41,J42)=18,"Complete","Enter all 18 amounts"),"Not included")</f>
        <v>Complete</v>
      </c>
      <c r="K45" s="19" t="str">
        <f>IF(AND(AND(ISNUMBER($C$8),$C$8&gt;0,ISNUMBER($G$8),$G$8&gt;=1,$G$8&lt;=12,MOD($G$8,1)=0),9&lt;=$G$8),IF(COUNT(K15,K16,K19,K20,K21,K27,K28,K29,K30,K31,K32,K33,K34,K35,K36,K37,K41,K42)=18,"Complete","Enter all 18 amounts"),"Not included")</f>
        <v>Complete</v>
      </c>
      <c r="L45" s="19" t="str">
        <f>IF(AND(AND(ISNUMBER($C$8),$C$8&gt;0,ISNUMBER($G$8),$G$8&gt;=1,$G$8&lt;=12,MOD($G$8,1)=0),10&lt;=$G$8),IF(COUNT(L15,L16,L19,L20,L21,L27,L28,L29,L30,L31,L32,L33,L34,L35,L36,L37,L41,L42)=18,"Complete","Enter all 18 amounts"),"Not included")</f>
        <v>Complete</v>
      </c>
      <c r="M45" s="19" t="str">
        <f>IF(AND(AND(ISNUMBER($C$8),$C$8&gt;0,ISNUMBER($G$8),$G$8&gt;=1,$G$8&lt;=12,MOD($G$8,1)=0),11&lt;=$G$8),IF(COUNT(M15,M16,M19,M20,M21,M27,M28,M29,M30,M31,M32,M33,M34,M35,M36,M37,M41,M42)=18,"Complete","Enter all 18 amounts"),"Not included")</f>
        <v>Complete</v>
      </c>
      <c r="N45" s="19" t="str">
        <f>IF(AND(AND(ISNUMBER($C$8),$C$8&gt;0,ISNUMBER($G$8),$G$8&gt;=1,$G$8&lt;=12,MOD($G$8,1)=0),12&lt;=$G$8),IF(COUNT(N15,N16,N19,N20,N21,N27,N28,N29,N30,N31,N32,N33,N34,N35,N36,N37,N41,N42)=18,"Complete","Enter all 18 amounts"),"Not included")</f>
        <v>Complete</v>
      </c>
      <c r="O45" s="2"/>
      <c r="P45" s="20">
        <f>COUNTIFS(C45:N45,"Complete")</f>
        <v>12</v>
      </c>
      <c r="Q45" s="2"/>
      <c r="R45" s="2"/>
      <c r="S45" s="2"/>
      <c r="T45" s="2"/>
    </row>
    <row r="46" spans="1:20" ht="21.95" customHeight="1">
      <c r="A46" s="2"/>
      <c r="B46" s="2" t="s">
        <v>150</v>
      </c>
      <c r="C46" s="2"/>
      <c r="D46" s="2"/>
      <c r="E46" s="2"/>
      <c r="F46" s="2"/>
      <c r="G46" s="2"/>
      <c r="H46" s="2"/>
      <c r="I46" s="47" t="str">
        <f>IF(AND(ISNUMBER(G8),G8&gt;0),"Required: "&amp;(G8*18)&amp;" amounts","Choose Months included first")</f>
        <v>Required: 216 amounts</v>
      </c>
      <c r="J46" s="47"/>
      <c r="K46" s="47"/>
      <c r="L46" s="47"/>
      <c r="M46" s="47"/>
      <c r="N46" s="47"/>
      <c r="O46" s="2"/>
      <c r="P46" s="4">
        <f>IF(AND(ISNUMBER($G$8),$G$8&gt;=1,$G$8&lt;=12),COUNT(C15:INDEX(C15:N15,1,$G$8))+COUNT(C16:INDEX(C16:N16,1,$G$8))+COUNT(C19:INDEX(C19:N19,1,$G$8))+COUNT(C20:INDEX(C20:N20,1,$G$8))+COUNT(C21:INDEX(C21:N21,1,$G$8))+COUNT(C27:INDEX(C27:N27,1,$G$8))+COUNT(C28:INDEX(C28:N28,1,$G$8))+COUNT(C29:INDEX(C29:N29,1,$G$8))+COUNT(C30:INDEX(C30:N30,1,$G$8))+COUNT(C31:INDEX(C31:N31,1,$G$8))+COUNT(C32:INDEX(C32:N32,1,$G$8))+COUNT(C33:INDEX(C33:N33,1,$G$8))+COUNT(C34:INDEX(C34:N34,1,$G$8))+COUNT(C35:INDEX(C35:N35,1,$G$8))+COUNT(C36:INDEX(C36:N36,1,$G$8))+COUNT(C37:INDEX(C37:N37,1,$G$8))+COUNT(C41:INDEX(C41:N41,1,$G$8))+COUNT(C42:INDEX(C42:N42,1,$G$8)),0)</f>
        <v>216</v>
      </c>
      <c r="Q46" s="2"/>
      <c r="R46" s="2"/>
      <c r="S46" s="2"/>
      <c r="T46" s="2"/>
    </row>
    <row r="47" spans="1:20" ht="21.9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21.95" customHeight="1">
      <c r="A48" s="2"/>
      <c r="B48" s="47" t="s">
        <v>151</v>
      </c>
      <c r="C48" s="47" t="s">
        <v>151</v>
      </c>
      <c r="D48" s="47" t="s">
        <v>151</v>
      </c>
      <c r="E48" s="47" t="s">
        <v>151</v>
      </c>
      <c r="F48" s="47" t="s">
        <v>151</v>
      </c>
      <c r="G48" s="47" t="s">
        <v>151</v>
      </c>
      <c r="H48" s="47" t="s">
        <v>151</v>
      </c>
      <c r="I48" s="47" t="s">
        <v>151</v>
      </c>
      <c r="J48" s="47" t="s">
        <v>151</v>
      </c>
      <c r="K48" s="47" t="s">
        <v>151</v>
      </c>
      <c r="L48" s="47" t="s">
        <v>151</v>
      </c>
      <c r="M48" s="47" t="s">
        <v>151</v>
      </c>
      <c r="N48" s="47" t="s">
        <v>151</v>
      </c>
      <c r="O48" s="47" t="s">
        <v>151</v>
      </c>
      <c r="P48" s="47" t="s">
        <v>151</v>
      </c>
      <c r="Q48" s="2"/>
      <c r="R48" s="2"/>
      <c r="S48" s="2"/>
      <c r="T48" s="2"/>
    </row>
    <row r="49" spans="1:20" ht="21.95" customHeight="1">
      <c r="A49" s="2"/>
      <c r="B49" s="47" t="s">
        <v>152</v>
      </c>
      <c r="C49" s="47" t="s">
        <v>152</v>
      </c>
      <c r="D49" s="47" t="s">
        <v>152</v>
      </c>
      <c r="E49" s="47" t="s">
        <v>152</v>
      </c>
      <c r="F49" s="47" t="s">
        <v>152</v>
      </c>
      <c r="G49" s="47" t="s">
        <v>152</v>
      </c>
      <c r="H49" s="47" t="s">
        <v>152</v>
      </c>
      <c r="I49" s="47" t="s">
        <v>152</v>
      </c>
      <c r="J49" s="47" t="s">
        <v>152</v>
      </c>
      <c r="K49" s="47" t="s">
        <v>152</v>
      </c>
      <c r="L49" s="47" t="s">
        <v>152</v>
      </c>
      <c r="M49" s="47" t="s">
        <v>152</v>
      </c>
      <c r="N49" s="47" t="s">
        <v>152</v>
      </c>
      <c r="O49" s="47" t="s">
        <v>152</v>
      </c>
      <c r="P49" s="47" t="s">
        <v>152</v>
      </c>
      <c r="Q49" s="2"/>
      <c r="R49" s="2"/>
      <c r="S49" s="2"/>
      <c r="T49" s="2"/>
    </row>
    <row r="50" spans="1:20" ht="21.95" customHeight="1">
      <c r="A50" s="2"/>
      <c r="B50" s="47" t="s">
        <v>153</v>
      </c>
      <c r="C50" s="47" t="s">
        <v>153</v>
      </c>
      <c r="D50" s="47" t="s">
        <v>153</v>
      </c>
      <c r="E50" s="47" t="s">
        <v>153</v>
      </c>
      <c r="F50" s="47" t="s">
        <v>153</v>
      </c>
      <c r="G50" s="47" t="s">
        <v>153</v>
      </c>
      <c r="H50" s="47" t="s">
        <v>153</v>
      </c>
      <c r="I50" s="47" t="s">
        <v>153</v>
      </c>
      <c r="J50" s="47" t="s">
        <v>153</v>
      </c>
      <c r="K50" s="47" t="s">
        <v>153</v>
      </c>
      <c r="L50" s="47" t="s">
        <v>153</v>
      </c>
      <c r="M50" s="47" t="s">
        <v>153</v>
      </c>
      <c r="N50" s="47" t="s">
        <v>153</v>
      </c>
      <c r="O50" s="47" t="s">
        <v>153</v>
      </c>
      <c r="P50" s="47" t="s">
        <v>153</v>
      </c>
      <c r="Q50" s="2"/>
      <c r="R50" s="2"/>
      <c r="S50" s="2"/>
      <c r="T50" s="2"/>
    </row>
    <row r="51" spans="1:20" ht="21.95" customHeight="1">
      <c r="A51" s="2"/>
      <c r="B51" s="47" t="s">
        <v>153</v>
      </c>
      <c r="C51" s="47" t="s">
        <v>153</v>
      </c>
      <c r="D51" s="47" t="s">
        <v>153</v>
      </c>
      <c r="E51" s="47" t="s">
        <v>153</v>
      </c>
      <c r="F51" s="47" t="s">
        <v>153</v>
      </c>
      <c r="G51" s="47" t="s">
        <v>153</v>
      </c>
      <c r="H51" s="47" t="s">
        <v>153</v>
      </c>
      <c r="I51" s="47" t="s">
        <v>153</v>
      </c>
      <c r="J51" s="47" t="s">
        <v>153</v>
      </c>
      <c r="K51" s="47" t="s">
        <v>153</v>
      </c>
      <c r="L51" s="47" t="s">
        <v>153</v>
      </c>
      <c r="M51" s="47" t="s">
        <v>153</v>
      </c>
      <c r="N51" s="47" t="s">
        <v>153</v>
      </c>
      <c r="O51" s="47" t="s">
        <v>153</v>
      </c>
      <c r="P51" s="47" t="s">
        <v>153</v>
      </c>
      <c r="Q51" s="2"/>
      <c r="R51" s="2"/>
      <c r="S51" s="2"/>
      <c r="T51" s="2"/>
    </row>
    <row r="52" spans="1:20" ht="21.9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21.95" customHeight="1">
      <c r="A53" s="2"/>
      <c r="B53" s="47" t="s">
        <v>154</v>
      </c>
      <c r="C53" s="47" t="s">
        <v>154</v>
      </c>
      <c r="D53" s="47" t="s">
        <v>154</v>
      </c>
      <c r="E53" s="47" t="s">
        <v>154</v>
      </c>
      <c r="F53" s="47" t="s">
        <v>154</v>
      </c>
      <c r="G53" s="47" t="s">
        <v>154</v>
      </c>
      <c r="H53" s="47" t="s">
        <v>154</v>
      </c>
      <c r="I53" s="47" t="s">
        <v>154</v>
      </c>
      <c r="J53" s="47" t="s">
        <v>154</v>
      </c>
      <c r="K53" s="47" t="s">
        <v>154</v>
      </c>
      <c r="L53" s="47" t="s">
        <v>154</v>
      </c>
      <c r="M53" s="47" t="s">
        <v>154</v>
      </c>
      <c r="N53" s="47" t="s">
        <v>154</v>
      </c>
      <c r="O53" s="47" t="s">
        <v>154</v>
      </c>
      <c r="P53" s="47" t="s">
        <v>154</v>
      </c>
      <c r="Q53" s="2"/>
      <c r="R53" s="2"/>
      <c r="S53" s="2"/>
      <c r="T53" s="2"/>
    </row>
    <row r="54" spans="1:20" ht="21.9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23.1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20" ht="23.1" customHeight="1">
      <c r="A56" s="10"/>
      <c r="B56" s="52" t="s">
        <v>155</v>
      </c>
      <c r="C56" s="52" t="s">
        <v>155</v>
      </c>
      <c r="D56" s="52" t="s">
        <v>155</v>
      </c>
      <c r="E56" s="52" t="s">
        <v>155</v>
      </c>
      <c r="F56" s="52" t="s">
        <v>155</v>
      </c>
      <c r="G56" s="52" t="s">
        <v>155</v>
      </c>
      <c r="H56" s="52" t="s">
        <v>155</v>
      </c>
      <c r="I56" s="52" t="s">
        <v>155</v>
      </c>
      <c r="J56" s="52" t="s">
        <v>155</v>
      </c>
      <c r="K56" s="52" t="s">
        <v>155</v>
      </c>
      <c r="L56" s="52" t="s">
        <v>155</v>
      </c>
      <c r="M56" s="52" t="s">
        <v>155</v>
      </c>
      <c r="N56" s="52" t="s">
        <v>155</v>
      </c>
      <c r="O56" s="52" t="s">
        <v>155</v>
      </c>
      <c r="P56" s="52" t="s">
        <v>155</v>
      </c>
    </row>
    <row r="57" spans="1:20" ht="23.1" customHeight="1">
      <c r="A57" s="10"/>
      <c r="B57" s="47" t="s">
        <v>156</v>
      </c>
      <c r="C57" s="47" t="s">
        <v>156</v>
      </c>
      <c r="D57" s="47" t="s">
        <v>156</v>
      </c>
      <c r="E57" s="47" t="s">
        <v>156</v>
      </c>
      <c r="F57" s="47" t="s">
        <v>156</v>
      </c>
      <c r="G57" s="47" t="s">
        <v>156</v>
      </c>
      <c r="H57" s="47" t="s">
        <v>156</v>
      </c>
      <c r="I57" s="47" t="s">
        <v>156</v>
      </c>
      <c r="J57" s="47" t="s">
        <v>156</v>
      </c>
      <c r="K57" s="47" t="s">
        <v>156</v>
      </c>
      <c r="L57" s="47" t="s">
        <v>156</v>
      </c>
      <c r="M57" s="47" t="s">
        <v>156</v>
      </c>
      <c r="N57" s="47" t="s">
        <v>156</v>
      </c>
      <c r="O57" s="47" t="s">
        <v>156</v>
      </c>
      <c r="P57" s="47" t="s">
        <v>156</v>
      </c>
    </row>
    <row r="58" spans="1:20" ht="23.1" customHeight="1">
      <c r="A58" s="10"/>
      <c r="B58" s="47" t="s">
        <v>156</v>
      </c>
      <c r="C58" s="47" t="s">
        <v>156</v>
      </c>
      <c r="D58" s="47" t="s">
        <v>156</v>
      </c>
      <c r="E58" s="47" t="s">
        <v>156</v>
      </c>
      <c r="F58" s="47" t="s">
        <v>156</v>
      </c>
      <c r="G58" s="47" t="s">
        <v>156</v>
      </c>
      <c r="H58" s="47" t="s">
        <v>156</v>
      </c>
      <c r="I58" s="47" t="s">
        <v>156</v>
      </c>
      <c r="J58" s="47" t="s">
        <v>156</v>
      </c>
      <c r="K58" s="47" t="s">
        <v>156</v>
      </c>
      <c r="L58" s="47" t="s">
        <v>156</v>
      </c>
      <c r="M58" s="47" t="s">
        <v>156</v>
      </c>
      <c r="N58" s="47" t="s">
        <v>156</v>
      </c>
      <c r="O58" s="47" t="s">
        <v>156</v>
      </c>
      <c r="P58" s="47" t="s">
        <v>156</v>
      </c>
    </row>
    <row r="59" spans="1:20" ht="30.95" customHeight="1">
      <c r="A59" s="10"/>
      <c r="B59" s="7" t="s">
        <v>157</v>
      </c>
      <c r="C59" s="53" t="s">
        <v>125</v>
      </c>
      <c r="D59" s="53" t="s">
        <v>125</v>
      </c>
      <c r="E59" s="53" t="s">
        <v>158</v>
      </c>
      <c r="F59" s="53" t="s">
        <v>158</v>
      </c>
      <c r="G59" s="53" t="s">
        <v>159</v>
      </c>
      <c r="H59" s="53" t="s">
        <v>159</v>
      </c>
      <c r="I59" s="53" t="s">
        <v>160</v>
      </c>
      <c r="J59" s="53" t="s">
        <v>160</v>
      </c>
      <c r="K59" s="53" t="s">
        <v>161</v>
      </c>
      <c r="L59" s="53" t="s">
        <v>161</v>
      </c>
      <c r="M59" s="53" t="s">
        <v>162</v>
      </c>
      <c r="N59" s="53" t="s">
        <v>162</v>
      </c>
      <c r="O59" s="10"/>
      <c r="P59" s="7" t="s">
        <v>163</v>
      </c>
    </row>
    <row r="60" spans="1:20" ht="23.1" customHeight="1">
      <c r="A60" s="10"/>
      <c r="B60" s="37" t="str">
        <f t="shared" ref="B60:B70" si="2">B27</f>
        <v>Overhead payroll &amp; benefits</v>
      </c>
      <c r="C60" s="90">
        <f>IF(AND(ISNUMBER($G$8),$G$8&gt;=2,$P$45=$G$8,ISNUMBER(C17),C17&gt;0,ISNUMBER(INDEX(C17:N17,1,$G$8)),INDEX(C17:N17,1,$G$8)&gt;0),C27,"")</f>
        <v>10000</v>
      </c>
      <c r="D60" s="91"/>
      <c r="E60" s="90">
        <f>IF(AND(ISNUMBER($G$8),$G$8&gt;=2,$P$45=$G$8,ISNUMBER(C17),C17&gt;0,ISNUMBER(INDEX(C17:N17,1,$G$8)),INDEX(C17:N17,1,$G$8)&gt;0),INDEX(C27:N27,1,$G$8),"")</f>
        <v>11650</v>
      </c>
      <c r="F60" s="91"/>
      <c r="G60" s="92">
        <f t="shared" ref="G60:G70" si="3">IF(COUNT(C60,E60)=2,IF(C60&gt;0,E60/C60-1,"n.a."),"")</f>
        <v>0.16500000000000004</v>
      </c>
      <c r="H60" s="91"/>
      <c r="I60" s="92">
        <f>IF(AND(ISNUMBER($G$8),$G$8&gt;=2,$P$45=$G$8,ISNUMBER(C17),C17&gt;0,ISNUMBER(INDEX(C17:N17,1,$G$8)),INDEX(C17:N17,1,$G$8)&gt;0),INDEX(C17:N17,1,$G$8)/C17-1,"")</f>
        <v>0.58333333333333326</v>
      </c>
      <c r="J60" s="91"/>
      <c r="K60" s="93">
        <f>IF(AND(ISNUMBER($G$8),$G$8&gt;=2,$P$45=$G$8,ISNUMBER(C17),C17&gt;0,ISNUMBER(INDEX(C17:N17,1,$G$8)),INDEX(C17:N17,1,$G$8)&gt;0),(INDEX(C27:N27,1,$G$8)/INDEX(C17:N17,1,$G$8)-C27/C17)*100,"")</f>
        <v>-5.5043859649122808</v>
      </c>
      <c r="L60" s="91"/>
      <c r="M60" s="90">
        <f t="shared" ref="M60:M68" si="4">IF(ISNUMBER(K60),MAX(0,K60/100)*$P$17,"")</f>
        <v>0</v>
      </c>
      <c r="N60" s="91"/>
      <c r="O60" s="10"/>
      <c r="P60" s="38">
        <f t="shared" ref="P60:P70" si="5">IF(ISNUMBER(P27),P27,"")</f>
        <v>129900</v>
      </c>
    </row>
    <row r="61" spans="1:20" ht="23.1" customHeight="1">
      <c r="A61" s="10"/>
      <c r="B61" s="37" t="str">
        <f t="shared" si="2"/>
        <v>Rent &amp; occupancy</v>
      </c>
      <c r="C61" s="90">
        <f>IF(AND(ISNUMBER($G$8),$G$8&gt;=2,$P$45=$G$8,ISNUMBER(C17),C17&gt;0,ISNUMBER(INDEX(C17:N17,1,$G$8)),INDEX(C17:N17,1,$G$8)&gt;0),C28,"")</f>
        <v>3200</v>
      </c>
      <c r="D61" s="91"/>
      <c r="E61" s="90">
        <f>IF(AND(ISNUMBER($G$8),$G$8&gt;=2,$P$45=$G$8,ISNUMBER(C17),C17&gt;0,ISNUMBER(INDEX(C17:N17,1,$G$8)),INDEX(C17:N17,1,$G$8)&gt;0),INDEX(C28:N28,1,$G$8),"")</f>
        <v>3200</v>
      </c>
      <c r="F61" s="91"/>
      <c r="G61" s="92">
        <f t="shared" si="3"/>
        <v>0</v>
      </c>
      <c r="H61" s="91"/>
      <c r="I61" s="92">
        <f>IF(AND(ISNUMBER($G$8),$G$8&gt;=2,$P$45=$G$8,ISNUMBER(C17),C17&gt;0,ISNUMBER(INDEX(C17:N17,1,$G$8)),INDEX(C17:N17,1,$G$8)&gt;0),INDEX(C17:N17,1,$G$8)/C17-1,"")</f>
        <v>0.58333333333333326</v>
      </c>
      <c r="J61" s="91"/>
      <c r="K61" s="93">
        <f>IF(AND(ISNUMBER($G$8),$G$8&gt;=2,$P$45=$G$8,ISNUMBER(C17),C17&gt;0,ISNUMBER(INDEX(C17:N17,1,$G$8)),INDEX(C17:N17,1,$G$8)&gt;0),(INDEX(C28:N28,1,$G$8)/INDEX(C17:N17,1,$G$8)-C28/C17)*100,"")</f>
        <v>-2.4561403508771931</v>
      </c>
      <c r="L61" s="91"/>
      <c r="M61" s="90">
        <f t="shared" si="4"/>
        <v>0</v>
      </c>
      <c r="N61" s="91"/>
      <c r="O61" s="10"/>
      <c r="P61" s="38">
        <f t="shared" si="5"/>
        <v>38400</v>
      </c>
    </row>
    <row r="62" spans="1:20" ht="23.1" customHeight="1">
      <c r="A62" s="10"/>
      <c r="B62" s="37" t="str">
        <f t="shared" si="2"/>
        <v>Marketing &amp; advertising</v>
      </c>
      <c r="C62" s="90">
        <f>IF(AND(ISNUMBER($G$8),$G$8&gt;=2,$P$45=$G$8,ISNUMBER(C17),C17&gt;0,ISNUMBER(INDEX(C17:N17,1,$G$8)),INDEX(C17:N17,1,$G$8)&gt;0),C29,"")</f>
        <v>1800</v>
      </c>
      <c r="D62" s="91"/>
      <c r="E62" s="90">
        <f>IF(AND(ISNUMBER($G$8),$G$8&gt;=2,$P$45=$G$8,ISNUMBER(C17),C17&gt;0,ISNUMBER(INDEX(C17:N17,1,$G$8)),INDEX(C17:N17,1,$G$8)&gt;0),INDEX(C29:N29,1,$G$8),"")</f>
        <v>2625</v>
      </c>
      <c r="F62" s="91"/>
      <c r="G62" s="92">
        <f t="shared" si="3"/>
        <v>0.45833333333333326</v>
      </c>
      <c r="H62" s="91"/>
      <c r="I62" s="92">
        <f>IF(AND(ISNUMBER($G$8),$G$8&gt;=2,$P$45=$G$8,ISNUMBER(C17),C17&gt;0,ISNUMBER(INDEX(C17:N17,1,$G$8)),INDEX(C17:N17,1,$G$8)&gt;0),INDEX(C17:N17,1,$G$8)/C17-1,"")</f>
        <v>0.58333333333333326</v>
      </c>
      <c r="J62" s="91"/>
      <c r="K62" s="93">
        <f>IF(AND(ISNUMBER($G$8),$G$8&gt;=2,$P$45=$G$8,ISNUMBER(C17),C17&gt;0,ISNUMBER(INDEX(C17:N17,1,$G$8)),INDEX(C17:N17,1,$G$8)&gt;0),(INDEX(C29:N29,1,$G$8)/INDEX(C17:N17,1,$G$8)-C29/C17)*100,"")</f>
        <v>-0.2960526315789469</v>
      </c>
      <c r="L62" s="91"/>
      <c r="M62" s="90">
        <f t="shared" si="4"/>
        <v>0</v>
      </c>
      <c r="N62" s="91"/>
      <c r="O62" s="10"/>
      <c r="P62" s="38">
        <f t="shared" si="5"/>
        <v>26550</v>
      </c>
    </row>
    <row r="63" spans="1:20" ht="23.1" customHeight="1">
      <c r="A63" s="10"/>
      <c r="B63" s="37" t="str">
        <f t="shared" si="2"/>
        <v>Software &amp; subscriptions</v>
      </c>
      <c r="C63" s="90">
        <f>IF(AND(ISNUMBER($G$8),$G$8&gt;=2,$P$45=$G$8,ISNUMBER(C17),C17&gt;0,ISNUMBER(INDEX(C17:N17,1,$G$8)),INDEX(C17:N17,1,$G$8)&gt;0),C30,"")</f>
        <v>600</v>
      </c>
      <c r="D63" s="91"/>
      <c r="E63" s="90">
        <f>IF(AND(ISNUMBER($G$8),$G$8&gt;=2,$P$45=$G$8,ISNUMBER(C17),C17&gt;0,ISNUMBER(INDEX(C17:N17,1,$G$8)),INDEX(C17:N17,1,$G$8)&gt;0),INDEX(C30:N30,1,$G$8),"")</f>
        <v>820</v>
      </c>
      <c r="F63" s="91"/>
      <c r="G63" s="92">
        <f t="shared" si="3"/>
        <v>0.3666666666666667</v>
      </c>
      <c r="H63" s="91"/>
      <c r="I63" s="92">
        <f>IF(AND(ISNUMBER($G$8),$G$8&gt;=2,$P$45=$G$8,ISNUMBER(C17),C17&gt;0,ISNUMBER(INDEX(C17:N17,1,$G$8)),INDEX(C17:N17,1,$G$8)&gt;0),INDEX(C17:N17,1,$G$8)/C17-1,"")</f>
        <v>0.58333333333333326</v>
      </c>
      <c r="J63" s="91"/>
      <c r="K63" s="93">
        <f>IF(AND(ISNUMBER($G$8),$G$8&gt;=2,$P$45=$G$8,ISNUMBER(C17),C17&gt;0,ISNUMBER(INDEX(C17:N17,1,$G$8)),INDEX(C17:N17,1,$G$8)&gt;0),(INDEX(C30:N30,1,$G$8)/INDEX(C17:N17,1,$G$8)-C30/C17)*100,"")</f>
        <v>-0.17105263157894748</v>
      </c>
      <c r="L63" s="91"/>
      <c r="M63" s="90">
        <f t="shared" si="4"/>
        <v>0</v>
      </c>
      <c r="N63" s="91"/>
      <c r="O63" s="10"/>
      <c r="P63" s="38">
        <f t="shared" si="5"/>
        <v>8520</v>
      </c>
    </row>
    <row r="64" spans="1:20" ht="23.1" customHeight="1">
      <c r="A64" s="10"/>
      <c r="B64" s="37" t="str">
        <f t="shared" si="2"/>
        <v>Business insurance</v>
      </c>
      <c r="C64" s="90">
        <f>IF(AND(ISNUMBER($G$8),$G$8&gt;=2,$P$45=$G$8,ISNUMBER(C17),C17&gt;0,ISNUMBER(INDEX(C17:N17,1,$G$8)),INDEX(C17:N17,1,$G$8)&gt;0),C31,"")</f>
        <v>900</v>
      </c>
      <c r="D64" s="91"/>
      <c r="E64" s="90">
        <f>IF(AND(ISNUMBER($G$8),$G$8&gt;=2,$P$45=$G$8,ISNUMBER(C17),C17&gt;0,ISNUMBER(INDEX(C17:N17,1,$G$8)),INDEX(C17:N17,1,$G$8)&gt;0),INDEX(C31:N31,1,$G$8),"")</f>
        <v>1050</v>
      </c>
      <c r="F64" s="91"/>
      <c r="G64" s="92">
        <f t="shared" si="3"/>
        <v>0.16666666666666674</v>
      </c>
      <c r="H64" s="91"/>
      <c r="I64" s="92">
        <f>IF(AND(ISNUMBER($G$8),$G$8&gt;=2,$P$45=$G$8,ISNUMBER(C17),C17&gt;0,ISNUMBER(INDEX(C17:N17,1,$G$8)),INDEX(C17:N17,1,$G$8)&gt;0),INDEX(C17:N17,1,$G$8)/C17-1,"")</f>
        <v>0.58333333333333326</v>
      </c>
      <c r="J64" s="91"/>
      <c r="K64" s="93">
        <f>IF(AND(ISNUMBER($G$8),$G$8&gt;=2,$P$45=$G$8,ISNUMBER(C17),C17&gt;0,ISNUMBER(INDEX(C17:N17,1,$G$8)),INDEX(C17:N17,1,$G$8)&gt;0),(INDEX(C31:N31,1,$G$8)/INDEX(C17:N17,1,$G$8)-C31/C17)*100,"")</f>
        <v>-0.49342105263157893</v>
      </c>
      <c r="L64" s="91"/>
      <c r="M64" s="90">
        <f t="shared" si="4"/>
        <v>0</v>
      </c>
      <c r="N64" s="91"/>
      <c r="O64" s="10"/>
      <c r="P64" s="38">
        <f t="shared" si="5"/>
        <v>11700</v>
      </c>
    </row>
    <row r="65" spans="1:16" ht="23.1" customHeight="1">
      <c r="A65" s="10"/>
      <c r="B65" s="37" t="str">
        <f t="shared" si="2"/>
        <v>Utilities &amp; communications</v>
      </c>
      <c r="C65" s="90">
        <f>IF(AND(ISNUMBER($G$8),$G$8&gt;=2,$P$45=$G$8,ISNUMBER(C17),C17&gt;0,ISNUMBER(INDEX(C17:N17,1,$G$8)),INDEX(C17:N17,1,$G$8)&gt;0),C32,"")</f>
        <v>600</v>
      </c>
      <c r="D65" s="91"/>
      <c r="E65" s="90">
        <f>IF(AND(ISNUMBER($G$8),$G$8&gt;=2,$P$45=$G$8,ISNUMBER(C17),C17&gt;0,ISNUMBER(INDEX(C17:N17,1,$G$8)),INDEX(C17:N17,1,$G$8)&gt;0),INDEX(C32:N32,1,$G$8),"")</f>
        <v>600</v>
      </c>
      <c r="F65" s="91"/>
      <c r="G65" s="92">
        <f t="shared" si="3"/>
        <v>0</v>
      </c>
      <c r="H65" s="91"/>
      <c r="I65" s="92">
        <f>IF(AND(ISNUMBER($G$8),$G$8&gt;=2,$P$45=$G$8,ISNUMBER(C17),C17&gt;0,ISNUMBER(INDEX(C17:N17,1,$G$8)),INDEX(C17:N17,1,$G$8)&gt;0),INDEX(C17:N17,1,$G$8)/C17-1,"")</f>
        <v>0.58333333333333326</v>
      </c>
      <c r="J65" s="91"/>
      <c r="K65" s="93">
        <f>IF(AND(ISNUMBER($G$8),$G$8&gt;=2,$P$45=$G$8,ISNUMBER(C17),C17&gt;0,ISNUMBER(INDEX(C17:N17,1,$G$8)),INDEX(C17:N17,1,$G$8)&gt;0),(INDEX(C32:N32,1,$G$8)/INDEX(C17:N17,1,$G$8)-C32/C17)*100,"")</f>
        <v>-0.46052631578947373</v>
      </c>
      <c r="L65" s="91"/>
      <c r="M65" s="90">
        <f t="shared" si="4"/>
        <v>0</v>
      </c>
      <c r="N65" s="91"/>
      <c r="O65" s="10"/>
      <c r="P65" s="38">
        <f t="shared" si="5"/>
        <v>6850</v>
      </c>
    </row>
    <row r="66" spans="1:16" ht="23.1" customHeight="1">
      <c r="A66" s="10"/>
      <c r="B66" s="37" t="str">
        <f t="shared" si="2"/>
        <v>Professional fees</v>
      </c>
      <c r="C66" s="90">
        <f>IF(AND(ISNUMBER($G$8),$G$8&gt;=2,$P$45=$G$8,ISNUMBER(C17),C17&gt;0,ISNUMBER(INDEX(C17:N17,1,$G$8)),INDEX(C17:N17,1,$G$8)&gt;0),C33,"")</f>
        <v>400</v>
      </c>
      <c r="D66" s="91"/>
      <c r="E66" s="90">
        <f>IF(AND(ISNUMBER($G$8),$G$8&gt;=2,$P$45=$G$8,ISNUMBER(C17),C17&gt;0,ISNUMBER(INDEX(C17:N17,1,$G$8)),INDEX(C17:N17,1,$G$8)&gt;0),INDEX(C33:N33,1,$G$8),"")</f>
        <v>400</v>
      </c>
      <c r="F66" s="91"/>
      <c r="G66" s="92">
        <f t="shared" si="3"/>
        <v>0</v>
      </c>
      <c r="H66" s="91"/>
      <c r="I66" s="92">
        <f>IF(AND(ISNUMBER($G$8),$G$8&gt;=2,$P$45=$G$8,ISNUMBER(C17),C17&gt;0,ISNUMBER(INDEX(C17:N17,1,$G$8)),INDEX(C17:N17,1,$G$8)&gt;0),INDEX(C17:N17,1,$G$8)/C17-1,"")</f>
        <v>0.58333333333333326</v>
      </c>
      <c r="J66" s="91"/>
      <c r="K66" s="93">
        <f>IF(AND(ISNUMBER($G$8),$G$8&gt;=2,$P$45=$G$8,ISNUMBER(C17),C17&gt;0,ISNUMBER(INDEX(C17:N17,1,$G$8)),INDEX(C17:N17,1,$G$8)&gt;0),(INDEX(C33:N33,1,$G$8)/INDEX(C17:N17,1,$G$8)-C33/C17)*100,"")</f>
        <v>-0.30701754385964913</v>
      </c>
      <c r="L66" s="91"/>
      <c r="M66" s="90">
        <f t="shared" si="4"/>
        <v>0</v>
      </c>
      <c r="N66" s="91"/>
      <c r="O66" s="10"/>
      <c r="P66" s="38">
        <f t="shared" si="5"/>
        <v>4800</v>
      </c>
    </row>
    <row r="67" spans="1:16" ht="23.1" customHeight="1">
      <c r="A67" s="10"/>
      <c r="B67" s="37" t="str">
        <f t="shared" si="2"/>
        <v>Repairs &amp; maintenance</v>
      </c>
      <c r="C67" s="90">
        <f>IF(AND(ISNUMBER($G$8),$G$8&gt;=2,$P$45=$G$8,ISNUMBER(C17),C17&gt;0,ISNUMBER(INDEX(C17:N17,1,$G$8)),INDEX(C17:N17,1,$G$8)&gt;0),C34,"")</f>
        <v>250</v>
      </c>
      <c r="D67" s="91"/>
      <c r="E67" s="90">
        <f>IF(AND(ISNUMBER($G$8),$G$8&gt;=2,$P$45=$G$8,ISNUMBER(C17),C17&gt;0,ISNUMBER(INDEX(C17:N17,1,$G$8)),INDEX(C17:N17,1,$G$8)&gt;0),INDEX(C34:N34,1,$G$8),"")</f>
        <v>500</v>
      </c>
      <c r="F67" s="91"/>
      <c r="G67" s="92">
        <f t="shared" si="3"/>
        <v>1</v>
      </c>
      <c r="H67" s="91"/>
      <c r="I67" s="92">
        <f>IF(AND(ISNUMBER($G$8),$G$8&gt;=2,$P$45=$G$8,ISNUMBER(C17),C17&gt;0,ISNUMBER(INDEX(C17:N17,1,$G$8)),INDEX(C17:N17,1,$G$8)&gt;0),INDEX(C17:N17,1,$G$8)/C17-1,"")</f>
        <v>0.58333333333333326</v>
      </c>
      <c r="J67" s="91"/>
      <c r="K67" s="93">
        <f>IF(AND(ISNUMBER($G$8),$G$8&gt;=2,$P$45=$G$8,ISNUMBER(C17),C17&gt;0,ISNUMBER(INDEX(C17:N17,1,$G$8)),INDEX(C17:N17,1,$G$8)&gt;0),(INDEX(C34:N34,1,$G$8)/INDEX(C17:N17,1,$G$8)-C34/C17)*100,"")</f>
        <v>0.13706140350877191</v>
      </c>
      <c r="L67" s="91"/>
      <c r="M67" s="90">
        <f t="shared" si="4"/>
        <v>999.17763157894728</v>
      </c>
      <c r="N67" s="91"/>
      <c r="O67" s="10"/>
      <c r="P67" s="38">
        <f t="shared" si="5"/>
        <v>3450</v>
      </c>
    </row>
    <row r="68" spans="1:16" ht="23.1" customHeight="1">
      <c r="A68" s="10"/>
      <c r="B68" s="37" t="str">
        <f t="shared" si="2"/>
        <v>Travel &amp; vehicle</v>
      </c>
      <c r="C68" s="90">
        <f>IF(AND(ISNUMBER($G$8),$G$8&gt;=2,$P$45=$G$8,ISNUMBER(C17),C17&gt;0,ISNUMBER(INDEX(C17:N17,1,$G$8)),INDEX(C17:N17,1,$G$8)&gt;0),C35,"")</f>
        <v>400</v>
      </c>
      <c r="D68" s="91"/>
      <c r="E68" s="90">
        <f>IF(AND(ISNUMBER($G$8),$G$8&gt;=2,$P$45=$G$8,ISNUMBER(C17),C17&gt;0,ISNUMBER(INDEX(C17:N17,1,$G$8)),INDEX(C17:N17,1,$G$8)&gt;0),INDEX(C35:N35,1,$G$8),"")</f>
        <v>510</v>
      </c>
      <c r="F68" s="91"/>
      <c r="G68" s="92">
        <f t="shared" si="3"/>
        <v>0.27499999999999991</v>
      </c>
      <c r="H68" s="91"/>
      <c r="I68" s="92">
        <f>IF(AND(ISNUMBER($G$8),$G$8&gt;=2,$P$45=$G$8,ISNUMBER(C17),C17&gt;0,ISNUMBER(INDEX(C17:N17,1,$G$8)),INDEX(C17:N17,1,$G$8)&gt;0),INDEX(C17:N17,1,$G$8)/C17-1,"")</f>
        <v>0.58333333333333326</v>
      </c>
      <c r="J68" s="91"/>
      <c r="K68" s="93">
        <f>IF(AND(ISNUMBER($G$8),$G$8&gt;=2,$P$45=$G$8,ISNUMBER(C17),C17&gt;0,ISNUMBER(INDEX(C17:N17,1,$G$8)),INDEX(C17:N17,1,$G$8)&gt;0),(INDEX(C35:N35,1,$G$8)/INDEX(C17:N17,1,$G$8)-C35/C17)*100,"")</f>
        <v>-0.16228070175438591</v>
      </c>
      <c r="L68" s="91"/>
      <c r="M68" s="90">
        <f t="shared" si="4"/>
        <v>0</v>
      </c>
      <c r="N68" s="91"/>
      <c r="O68" s="10"/>
      <c r="P68" s="38">
        <f t="shared" si="5"/>
        <v>5460</v>
      </c>
    </row>
    <row r="69" spans="1:16" ht="23.1" customHeight="1">
      <c r="A69" s="10"/>
      <c r="B69" s="37" t="str">
        <f t="shared" si="2"/>
        <v>Depreciation &amp; amortization</v>
      </c>
      <c r="C69" s="90">
        <f>IF(AND(ISNUMBER($G$8),$G$8&gt;=2,$P$45=$G$8,ISNUMBER(C17),C17&gt;0,ISNUMBER(INDEX(C17:N17,1,$G$8)),INDEX(C17:N17,1,$G$8)&gt;0),C36,"")</f>
        <v>600</v>
      </c>
      <c r="D69" s="91"/>
      <c r="E69" s="90">
        <f>IF(AND(ISNUMBER($G$8),$G$8&gt;=2,$P$45=$G$8,ISNUMBER(C17),C17&gt;0,ISNUMBER(INDEX(C17:N17,1,$G$8)),INDEX(C17:N17,1,$G$8)&gt;0),INDEX(C36:N36,1,$G$8),"")</f>
        <v>600</v>
      </c>
      <c r="F69" s="91"/>
      <c r="G69" s="92">
        <f t="shared" si="3"/>
        <v>0</v>
      </c>
      <c r="H69" s="91"/>
      <c r="I69" s="92">
        <f>IF(AND(ISNUMBER($G$8),$G$8&gt;=2,$P$45=$G$8,ISNUMBER(C17),C17&gt;0,ISNUMBER(INDEX(C17:N17,1,$G$8)),INDEX(C17:N17,1,$G$8)&gt;0),INDEX(C17:N17,1,$G$8)/C17-1,"")</f>
        <v>0.58333333333333326</v>
      </c>
      <c r="J69" s="91"/>
      <c r="K69" s="93">
        <f>IF(AND(ISNUMBER($G$8),$G$8&gt;=2,$P$45=$G$8,ISNUMBER(C17),C17&gt;0,ISNUMBER(INDEX(C17:N17,1,$G$8)),INDEX(C17:N17,1,$G$8)&gt;0),(INDEX(C36:N36,1,$G$8)/INDEX(C17:N17,1,$G$8)-C36/C17)*100,"")</f>
        <v>-0.46052631578947373</v>
      </c>
      <c r="L69" s="91"/>
      <c r="M69" s="90" t="str">
        <f>""</f>
        <v/>
      </c>
      <c r="N69" s="91"/>
      <c r="O69" s="10"/>
      <c r="P69" s="38">
        <f t="shared" si="5"/>
        <v>7200</v>
      </c>
    </row>
    <row r="70" spans="1:16" ht="23.1" customHeight="1">
      <c r="A70" s="10"/>
      <c r="B70" s="37" t="str">
        <f t="shared" si="2"/>
        <v>Other operating expenses</v>
      </c>
      <c r="C70" s="90">
        <f>IF(AND(ISNUMBER($G$8),$G$8&gt;=2,$P$45=$G$8,ISNUMBER(C17),C17&gt;0,ISNUMBER(INDEX(C17:N17,1,$G$8)),INDEX(C17:N17,1,$G$8)&gt;0),C37,"")</f>
        <v>350</v>
      </c>
      <c r="D70" s="91"/>
      <c r="E70" s="90">
        <f>IF(AND(ISNUMBER($G$8),$G$8&gt;=2,$P$45=$G$8,ISNUMBER(C17),C17&gt;0,ISNUMBER(INDEX(C17:N17,1,$G$8)),INDEX(C17:N17,1,$G$8)&gt;0),INDEX(C37:N37,1,$G$8),"")</f>
        <v>350</v>
      </c>
      <c r="F70" s="91"/>
      <c r="G70" s="92">
        <f t="shared" si="3"/>
        <v>0</v>
      </c>
      <c r="H70" s="91"/>
      <c r="I70" s="92">
        <f>IF(AND(ISNUMBER($G$8),$G$8&gt;=2,$P$45=$G$8,ISNUMBER(C17),C17&gt;0,ISNUMBER(INDEX(C17:N17,1,$G$8)),INDEX(C17:N17,1,$G$8)&gt;0),INDEX(C17:N17,1,$G$8)/C17-1,"")</f>
        <v>0.58333333333333326</v>
      </c>
      <c r="J70" s="91"/>
      <c r="K70" s="93">
        <f>IF(AND(ISNUMBER($G$8),$G$8&gt;=2,$P$45=$G$8,ISNUMBER(C17),C17&gt;0,ISNUMBER(INDEX(C17:N17,1,$G$8)),INDEX(C17:N17,1,$G$8)&gt;0),(INDEX(C37:N37,1,$G$8)/INDEX(C17:N17,1,$G$8)-C37/C17)*100,"")</f>
        <v>-0.26864035087719301</v>
      </c>
      <c r="L70" s="91"/>
      <c r="M70" s="90">
        <f>IF(ISNUMBER(K70),MAX(0,K70/100)*$P$17,"")</f>
        <v>0</v>
      </c>
      <c r="N70" s="91"/>
      <c r="O70" s="10"/>
      <c r="P70" s="38">
        <f t="shared" si="5"/>
        <v>4200</v>
      </c>
    </row>
    <row r="71" spans="1:16" ht="23.1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</row>
    <row r="72" spans="1:16" ht="23.1" customHeight="1">
      <c r="A72" s="10"/>
      <c r="B72" s="47" t="s">
        <v>164</v>
      </c>
      <c r="C72" s="47" t="s">
        <v>164</v>
      </c>
      <c r="D72" s="47" t="s">
        <v>164</v>
      </c>
      <c r="E72" s="47" t="s">
        <v>164</v>
      </c>
      <c r="F72" s="47" t="s">
        <v>164</v>
      </c>
      <c r="G72" s="47" t="s">
        <v>164</v>
      </c>
      <c r="H72" s="47" t="s">
        <v>164</v>
      </c>
      <c r="I72" s="47" t="s">
        <v>164</v>
      </c>
      <c r="J72" s="47" t="s">
        <v>164</v>
      </c>
      <c r="K72" s="47" t="s">
        <v>164</v>
      </c>
      <c r="L72" s="47" t="s">
        <v>164</v>
      </c>
      <c r="M72" s="47" t="s">
        <v>164</v>
      </c>
      <c r="N72" s="47" t="s">
        <v>164</v>
      </c>
      <c r="O72" s="47" t="s">
        <v>164</v>
      </c>
      <c r="P72" s="47" t="s">
        <v>164</v>
      </c>
    </row>
    <row r="73" spans="1:16" ht="23.1" customHeight="1">
      <c r="A73" s="10"/>
      <c r="B73" s="47" t="s">
        <v>164</v>
      </c>
      <c r="C73" s="47" t="s">
        <v>164</v>
      </c>
      <c r="D73" s="47" t="s">
        <v>164</v>
      </c>
      <c r="E73" s="47" t="s">
        <v>164</v>
      </c>
      <c r="F73" s="47" t="s">
        <v>164</v>
      </c>
      <c r="G73" s="47" t="s">
        <v>164</v>
      </c>
      <c r="H73" s="47" t="s">
        <v>164</v>
      </c>
      <c r="I73" s="47" t="s">
        <v>164</v>
      </c>
      <c r="J73" s="47" t="s">
        <v>164</v>
      </c>
      <c r="K73" s="47" t="s">
        <v>164</v>
      </c>
      <c r="L73" s="47" t="s">
        <v>164</v>
      </c>
      <c r="M73" s="47" t="s">
        <v>164</v>
      </c>
      <c r="N73" s="47" t="s">
        <v>164</v>
      </c>
      <c r="O73" s="47" t="s">
        <v>164</v>
      </c>
      <c r="P73" s="47" t="s">
        <v>164</v>
      </c>
    </row>
    <row r="74" spans="1:16" ht="23.1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</row>
  </sheetData>
  <sheetProtection sheet="1" objects="1" scenarios="1"/>
  <mergeCells count="85">
    <mergeCell ref="M70:N70"/>
    <mergeCell ref="B72:P73"/>
    <mergeCell ref="C70:D70"/>
    <mergeCell ref="E70:F70"/>
    <mergeCell ref="G70:H70"/>
    <mergeCell ref="I70:J70"/>
    <mergeCell ref="K70:L70"/>
    <mergeCell ref="M68:N68"/>
    <mergeCell ref="C69:D69"/>
    <mergeCell ref="E69:F69"/>
    <mergeCell ref="G69:H69"/>
    <mergeCell ref="I69:J69"/>
    <mergeCell ref="K69:L69"/>
    <mergeCell ref="M69:N69"/>
    <mergeCell ref="C68:D68"/>
    <mergeCell ref="E68:F68"/>
    <mergeCell ref="G68:H68"/>
    <mergeCell ref="I68:J68"/>
    <mergeCell ref="K68:L68"/>
    <mergeCell ref="M66:N66"/>
    <mergeCell ref="C67:D67"/>
    <mergeCell ref="E67:F67"/>
    <mergeCell ref="G67:H67"/>
    <mergeCell ref="I67:J67"/>
    <mergeCell ref="K67:L67"/>
    <mergeCell ref="M67:N67"/>
    <mergeCell ref="C66:D66"/>
    <mergeCell ref="E66:F66"/>
    <mergeCell ref="G66:H66"/>
    <mergeCell ref="I66:J66"/>
    <mergeCell ref="K66:L66"/>
    <mergeCell ref="M64:N64"/>
    <mergeCell ref="C65:D65"/>
    <mergeCell ref="E65:F65"/>
    <mergeCell ref="G65:H65"/>
    <mergeCell ref="I65:J65"/>
    <mergeCell ref="K65:L65"/>
    <mergeCell ref="M65:N65"/>
    <mergeCell ref="C64:D64"/>
    <mergeCell ref="E64:F64"/>
    <mergeCell ref="G64:H64"/>
    <mergeCell ref="I64:J64"/>
    <mergeCell ref="K64:L64"/>
    <mergeCell ref="M62:N62"/>
    <mergeCell ref="C63:D63"/>
    <mergeCell ref="E63:F63"/>
    <mergeCell ref="G63:H63"/>
    <mergeCell ref="I63:J63"/>
    <mergeCell ref="K63:L63"/>
    <mergeCell ref="M63:N63"/>
    <mergeCell ref="C62:D62"/>
    <mergeCell ref="E62:F62"/>
    <mergeCell ref="G62:H62"/>
    <mergeCell ref="I62:J62"/>
    <mergeCell ref="K62:L62"/>
    <mergeCell ref="M60:N60"/>
    <mergeCell ref="C61:D61"/>
    <mergeCell ref="E61:F61"/>
    <mergeCell ref="G61:H61"/>
    <mergeCell ref="I61:J61"/>
    <mergeCell ref="K61:L61"/>
    <mergeCell ref="M61:N61"/>
    <mergeCell ref="C60:D60"/>
    <mergeCell ref="E60:F60"/>
    <mergeCell ref="G60:H60"/>
    <mergeCell ref="I60:J60"/>
    <mergeCell ref="K60:L60"/>
    <mergeCell ref="B56:P56"/>
    <mergeCell ref="B57:P58"/>
    <mergeCell ref="C59:D59"/>
    <mergeCell ref="E59:F59"/>
    <mergeCell ref="G59:H59"/>
    <mergeCell ref="I59:J59"/>
    <mergeCell ref="K59:L59"/>
    <mergeCell ref="M59:N59"/>
    <mergeCell ref="B48:P48"/>
    <mergeCell ref="B49:P49"/>
    <mergeCell ref="B50:P51"/>
    <mergeCell ref="B53:P53"/>
    <mergeCell ref="I46:N46"/>
    <mergeCell ref="B2:P2"/>
    <mergeCell ref="B4:P5"/>
    <mergeCell ref="B6:P6"/>
    <mergeCell ref="I8:N8"/>
    <mergeCell ref="B10:P11"/>
  </mergeCells>
  <conditionalFormatting sqref="C39:N43">
    <cfRule type="cellIs" dxfId="2" priority="2" operator="lessThan">
      <formula>0</formula>
    </cfRule>
  </conditionalFormatting>
  <conditionalFormatting sqref="C45:N45">
    <cfRule type="containsText" dxfId="1" priority="1" operator="containsText" text="Enter all"/>
  </conditionalFormatting>
  <conditionalFormatting sqref="P39:P43">
    <cfRule type="cellIs" dxfId="0" priority="3" operator="lessThan">
      <formula>0</formula>
    </cfRule>
  </conditionalFormatting>
  <dataValidations count="3">
    <dataValidation type="whole" showErrorMessage="1" errorTitle="Check this input" error="Use a number within the permitted range. Enter 0 when the category does not apply." sqref="G8" xr:uid="{00000000-0002-0000-0500-000000000000}">
      <formula1>0</formula1>
      <formula2>12</formula2>
    </dataValidation>
    <dataValidation type="decimal" showErrorMessage="1" errorTitle="Check this input" error="Use a number within the permitted range. Enter 0 when the category does not apply." sqref="C41:N41 C27:N37 C19:N21 C15:N16" xr:uid="{00000000-0002-0000-0500-000001000000}">
      <formula1>0</formula1>
      <formula2>1000000000000</formula2>
    </dataValidation>
    <dataValidation type="decimal" showErrorMessage="1" errorTitle="Check this input" error="Use a number within the permitted range. Enter 0 when the category does not apply." sqref="C42:N42" xr:uid="{00000000-0002-0000-0500-000012000000}">
      <formula1>-1000000000000</formula1>
      <formula2>1000000000000</formula2>
    </dataValidation>
  </dataValidation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Dashboard</vt:lpstr>
      <vt:lpstr>Profit target</vt:lpstr>
      <vt:lpstr>What-if planner</vt:lpstr>
      <vt:lpstr>Action plan</vt:lpstr>
      <vt:lpstr>Cash planner</vt:lpstr>
      <vt:lpstr>Monthly financials</vt:lpstr>
      <vt:lpstr>'Action plan'!Print_Area</vt:lpstr>
      <vt:lpstr>'Cash planner'!Print_Area</vt:lpstr>
      <vt:lpstr>Dashboard!Print_Area</vt:lpstr>
      <vt:lpstr>'Monthly financials'!Print_Area</vt:lpstr>
      <vt:lpstr>'Profit target'!Print_Area</vt:lpstr>
      <vt:lpstr>'What-if planner'!Print_Area</vt:lpstr>
      <vt:lpstr>'Monthly financials'!Print_Titles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Dylan Cunningham</cp:lastModifiedBy>
  <dcterms:modified xsi:type="dcterms:W3CDTF">2026-10-18T04:38:15Z</dcterms:modified>
</cp:coreProperties>
</file>